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drawingml.chart+xml" PartName="/xl/charts/chart1.xml"/>
  <Override ContentType="application/vnd.openxmlformats-officedocument.drawingml.chart+xml" PartName="/xl/charts/chart10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4.xml"/>
  <Override ContentType="application/vnd.openxmlformats-officedocument.drawingml.chart+xml" PartName="/xl/charts/chart9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nnahmen" sheetId="1" r:id="rId4"/>
    <sheet state="visible" name="Berechnungen und Grafiken" sheetId="2" r:id="rId5"/>
    <sheet state="visible" name="Grafiken" sheetId="3" r:id="rId6"/>
    <sheet state="visible" name="Hilfstabelle" sheetId="4" r:id="rId7"/>
  </sheets>
  <definedNames>
    <definedName name="_xlchart.v2.2">Grafiken!$E$143:$W$143</definedName>
    <definedName name="_xlchart.v2.0">Grafiken!$D$144</definedName>
    <definedName name="_xlchart.v2.1">Grafiken!$D$145</definedName>
    <definedName name="_xlchart.v2.3">Grafiken!$E$144:$W$144</definedName>
    <definedName name="_xlchart.v2.4">Grafiken!$E$145:$W$145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18">
      <text>
        <t xml:space="preserve">Ordersmart:
Gib hier die Höhe der Ablöse ein </t>
      </text>
    </comment>
    <comment authorId="0" ref="C21">
      <text>
        <t xml:space="preserve">ordersmart:
Wenn du Ablöse bezahlst, dann trage hier zumindest eine Rate ein (zB wenn auf einmal)
</t>
      </text>
    </comment>
    <comment authorId="0" ref="H21">
      <text>
        <t xml:space="preserve">Ordersmart:
Gib hier die Netto-Kaltmiete ein - ohne Umsatzsteuer und ohne Nebenkosten</t>
      </text>
    </comment>
    <comment authorId="0" ref="H22">
      <text>
        <t xml:space="preserve">Ordersmart:
Gib hier die Netto-Kaltmiete für deine Parkplätze ein, falls du welche anmietest; 
ohne Umsatzsteuer und ohne Nebenkosten</t>
      </text>
    </comment>
    <comment authorId="0" ref="H26">
      <text>
        <t xml:space="preserve">Ordersmart:
Gib hier deine Nebenkosten für den Raum und Parkpläze ein (ohne Strom, das gibst du an anderer Stelle ein)</t>
      </text>
    </comment>
    <comment authorId="0" ref="C27">
      <text>
        <t xml:space="preserve">Ordersmart:
Gib hier die Höhe der Maklercourtage ein (am besten netto, ohne Umsatzsteuer)</t>
      </text>
    </comment>
    <comment authorId="0" ref="D31">
      <text>
        <t xml:space="preserve">Ordersmart:
Gib hier die Kosten ein, die für Umbau notwendig sind (zB für Renovierung, etc.)</t>
      </text>
    </comment>
    <comment authorId="0" ref="H34">
      <text>
        <t xml:space="preserve">Ordersmart:
Gib hier die mögliche Nebenkosten-Nachzahlung ein (weil zB hohe Heizkosten, etc.)
Richtwert: zB drei Mal deine Nebenkosten (wenn Nebenkosten 300 € pro Monat ausmachen, dann gebe 900 € ein)
</t>
      </text>
    </comment>
    <comment authorId="0" ref="C36">
      <text>
        <t xml:space="preserve">Ordersmart:
Musst du Küche kaufen? Und auf einmal bezahlen? Bitte hier den Kaufpreis eintragen</t>
      </text>
    </comment>
    <comment authorId="0" ref="D36">
      <text>
        <t xml:space="preserve">Ordersmart:
Musst du Küche kaufen? Aber zahlst diese monatlich ab? Dann bitte monatliche Rate (netto) hier eintragen</t>
      </text>
    </comment>
    <comment authorId="0" ref="C37">
      <text>
        <t xml:space="preserve">Ordersmart:
Musst du Möbel kaufen? Und auf einmal bezahlen? Bitte hier den Kaufpreis eintragen</t>
      </text>
    </comment>
    <comment authorId="0" ref="D37">
      <text>
        <t xml:space="preserve">Ordersmart:
Musst du Möbel kaufen? Aber zahlst diese monatlich ab? Dann bitte monatliche Rate (netto) hier eintragen Und auf einmal bezahlen? Bitte hier den Kaufpreis eintragen</t>
      </text>
    </comment>
    <comment authorId="0" ref="O37">
      <text>
        <t xml:space="preserve">Ordersmart:
Dieser Anteil ist statistisch, verändere ihn nur, wenn du dir sicher bist. Achte, dass die Summe aller Anteile 100% ausmacht (sonst Fehlermeldung)
</t>
      </text>
    </comment>
    <comment authorId="0" ref="C38">
      <text>
        <t xml:space="preserve">Ordersmart:
Musst du Autos kaufen? Und auf einmal bezahlen? Bitte hier den Kaufpreis eintragen</t>
      </text>
    </comment>
    <comment authorId="0" ref="D38">
      <text>
        <t xml:space="preserve">Ordersmart:
Musst du Autos kaufen? Aber zahlst diese monatlich ab? Dann bitte monatliche Rate (netto) hier eintragen </t>
      </text>
    </comment>
    <comment authorId="0" ref="O38">
      <text>
        <t xml:space="preserve">ordersmart:
Dieser Anteil ist statistisch, verändere ihn nur, wenn du dir sicher bist. Achte, dass die Summe aller Anteile 100% ausmacht (sonst Fehlermeldung)
</t>
      </text>
    </comment>
    <comment authorId="0" ref="C39">
      <text>
        <t xml:space="preserve">Ordersmart:
Musst du weitere Anschaffungen machen? Und auf einmal bezahlen? Bitte hier den Kaufpreis eintragen</t>
      </text>
    </comment>
    <comment authorId="0" ref="D39">
      <text>
        <t xml:space="preserve">Ordersmart:
Musst du weitere Anschaffungen machen? Aber zahlst diese monatlich ab? Dann bitte monatliche Rate (netto) hier eintragen </t>
      </text>
    </comment>
    <comment authorId="0" ref="O39">
      <text>
        <t xml:space="preserve">ordersmart:
Dieser Anteil ist statistisch, verändere ihn nur, wenn du dir sicher bist. Achte, dass die Summe aller Anteile 100% ausmacht (sonst Fehlermeldung)
</t>
      </text>
    </comment>
    <comment authorId="0" ref="O40">
      <text>
        <t xml:space="preserve">ordersmart:
Dieser Anteil ist statistisch, verändere ihn nur, wenn du dir sicher bist. Achte, dass die Summe aller Anteile 100% ausmacht (sonst Fehlermeldung)
</t>
      </text>
    </comment>
    <comment authorId="0" ref="O41">
      <text>
        <t xml:space="preserve">ordersmart:
Dieser Anteil ist statistisch, verändere ihn nur, wenn du dir sicher bist. Achte, dass die Summe aller Anteile 100% ausmacht (sonst Fehlermeldung)
</t>
      </text>
    </comment>
    <comment authorId="0" ref="O43">
      <text>
        <t xml:space="preserve">Ordersmart:
Gib hier die mögliche Nebenkosten-Nachzahlung ein (weil zB hohe Heizkosten, etc.)
Richtwert: zB drei Mal deine Nebenkosten (wenn Nebenkosten 300 € pro Monat ausmachen, dann gebe 900 € ein)
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139">
      <text>
        <t xml:space="preserve">ordersmart:
Falls hier ungültiger Wert steht, dann korrigeire die Anzahl von Raten für Ablöse
</t>
      </text>
    </comment>
  </commentList>
</comments>
</file>

<file path=xl/sharedStrings.xml><?xml version="1.0" encoding="utf-8"?>
<sst xmlns="http://schemas.openxmlformats.org/spreadsheetml/2006/main" count="223" uniqueCount="199">
  <si>
    <t>Investiere nur 15 (FÜNFZEHN) Minuten hier bei der Eingabe deiner Daten und du bekommst einen Business Plan für deinen Gastronomiebetrieb!</t>
  </si>
  <si>
    <t>Mache deine Angaben NUR in den gelben Feldern</t>
  </si>
  <si>
    <t>falls es Angaben gibt, ansonsten in den entsprechenden Feldern keine Angaben tätigen!</t>
  </si>
  <si>
    <t>FEHLERMELDUNGEN</t>
  </si>
  <si>
    <t>Bestellanteile</t>
  </si>
  <si>
    <t>Mindestlohn</t>
  </si>
  <si>
    <t>Lieferung/Abholung</t>
  </si>
  <si>
    <t>Betriebsstart</t>
  </si>
  <si>
    <t>Wahl Lieferdienst</t>
  </si>
  <si>
    <t>Wahl Restaurant</t>
  </si>
  <si>
    <t>Ablöse</t>
  </si>
  <si>
    <t>Angaben zum Start deines Unternehmens</t>
  </si>
  <si>
    <t>Angaben zu deinem Mietvertrag</t>
  </si>
  <si>
    <t>Angaben zu deinem Betrieb</t>
  </si>
  <si>
    <t>Angaben zum Personal</t>
  </si>
  <si>
    <t>Investitionen Übernahme / Neustart</t>
  </si>
  <si>
    <t>Anschrift und Konditionen des Mietvertrages</t>
  </si>
  <si>
    <t xml:space="preserve">Mache hier Angaben zu deinem Betrieb </t>
  </si>
  <si>
    <t>Hier ganz wichtige Angaben zum Personal</t>
  </si>
  <si>
    <t>Fall du Ablöse bezahlt - wie hoch ist sie?</t>
  </si>
  <si>
    <t>Mietbeginn (Monat)</t>
  </si>
  <si>
    <t>(immer Anfang des Monats)</t>
  </si>
  <si>
    <r>
      <rPr>
        <rFont val="Calibri"/>
        <b/>
        <color theme="1"/>
        <sz val="10.0"/>
      </rPr>
      <t xml:space="preserve">Machst du nur den Lieferdienst? </t>
    </r>
    <r>
      <rPr>
        <rFont val="Calibri"/>
        <b val="0"/>
        <i/>
        <color theme="1"/>
        <sz val="10.0"/>
      </rPr>
      <t>Bitte wählen -&gt;</t>
    </r>
  </si>
  <si>
    <t>nein</t>
  </si>
  <si>
    <t>Die nachstehenden Angaben kannst du verändern, allerdings basieren diese auf statistischen Werten</t>
  </si>
  <si>
    <t>Bitte eingeben -&gt;</t>
  </si>
  <si>
    <t xml:space="preserve">(kann vom Mietbeginn abweichen, </t>
  </si>
  <si>
    <t>weil zB Umbau dauert)</t>
  </si>
  <si>
    <t>wenn nein, gibt es Sitzplätze? Anzahl Sitzplätze -&gt;</t>
  </si>
  <si>
    <t>ein Fahrer schafft im Schnitt</t>
  </si>
  <si>
    <t>Lieferungen pro Stunde</t>
  </si>
  <si>
    <t>Wenn Ablösesumme in Raten bezahlt wird - wieviele Raten?</t>
  </si>
  <si>
    <t xml:space="preserve">ein Koch </t>
  </si>
  <si>
    <t xml:space="preserve">Bestellungen bzw. Sitzplätze pro Stunde </t>
  </si>
  <si>
    <t>Anzahl Raten -&gt;</t>
  </si>
  <si>
    <t xml:space="preserve">Kaltmiete </t>
  </si>
  <si>
    <t>pro Monat</t>
  </si>
  <si>
    <t>ein Kellner schafft</t>
  </si>
  <si>
    <t>Sitzplätze zu bedienen (unter 1 kein Kellner)</t>
  </si>
  <si>
    <t>Miete Stellplätze</t>
  </si>
  <si>
    <t>Angaben zu deinen Einnahmen aus Lieferdienst</t>
  </si>
  <si>
    <t>ein Mitarbeiter bekommt</t>
  </si>
  <si>
    <t>das ist der Mindestlohn, weniger darf man nicht bezahlen</t>
  </si>
  <si>
    <t xml:space="preserve">Häufigkeit Raten für die Ablösesumme </t>
  </si>
  <si>
    <t>Sozialabgaben betragen</t>
  </si>
  <si>
    <t>vom Personallohn</t>
  </si>
  <si>
    <t>Bitte wählen -&gt;</t>
  </si>
  <si>
    <t>monatlich</t>
  </si>
  <si>
    <t>=Deine Nettokaltmiet</t>
  </si>
  <si>
    <t>Wir haben unten statistische Angaben für dich vorbereitet</t>
  </si>
  <si>
    <t>Leelauf Personal</t>
  </si>
  <si>
    <t>Verluste in der Produktivität, die du zu tragen hast</t>
  </si>
  <si>
    <t>WICHTIG:</t>
  </si>
  <si>
    <t>Ein typischer Lieferdienst macht IM SCHNITT</t>
  </si>
  <si>
    <t>Mietest du neu an? Gibt es Maklercourtage?</t>
  </si>
  <si>
    <t>Nebenkosten</t>
  </si>
  <si>
    <t>pro Monat 1.350 Bestellungen (40 pro Tag)</t>
  </si>
  <si>
    <t>Welches Gehalt willst du dir zahlen? (Inhaber)</t>
  </si>
  <si>
    <t>Wenn ja -&gt;</t>
  </si>
  <si>
    <t>=Warmmiete</t>
  </si>
  <si>
    <t>wenn du dir kein Gehalt zahlst, kommt es bei Finanzierungspartnern nicht gut an</t>
  </si>
  <si>
    <t>-&gt;</t>
  </si>
  <si>
    <t xml:space="preserve">Denkst du, das ist auch realisitisch für dich? </t>
  </si>
  <si>
    <t>Wichtig! 1 Mal pro Jahr gibt es eine Nebenkosten-Abrechnung, die zu</t>
  </si>
  <si>
    <t>Wenn nein, bitte gebe Anzahl von Bestellungen ein,</t>
  </si>
  <si>
    <t>Weiteres Personal</t>
  </si>
  <si>
    <t>Investitionen in das Objekt</t>
  </si>
  <si>
    <t xml:space="preserve">einer erheblichen finanziellen Belastung Ihres Betriebes führen kann. </t>
  </si>
  <si>
    <t>die du pro Monat haben wirst (mehr/weniger)</t>
  </si>
  <si>
    <t>Bezeichnung 1</t>
  </si>
  <si>
    <t>Trage Kosten ein -&gt;</t>
  </si>
  <si>
    <t>Höhe der Umbau-Kosten</t>
  </si>
  <si>
    <t>einmalig</t>
  </si>
  <si>
    <t>Am besten du siehst diese mögliche Nachzahlung im Plan vor</t>
  </si>
  <si>
    <t xml:space="preserve">Kaufst du Geräte/Möbel/Autos oder finanzierst du sie? Bitte unten </t>
  </si>
  <si>
    <t>Mögliche Nachzahlung</t>
  </si>
  <si>
    <t>Die Bestellungen kommen über verschiedene Kanäle. Wir haben</t>
  </si>
  <si>
    <t>Angaben zu allen weiteren Kosten</t>
  </si>
  <si>
    <t>entsprechend ausfüllen</t>
  </si>
  <si>
    <t>der Nebenkosten</t>
  </si>
  <si>
    <t>1 Mal pro Jahr</t>
  </si>
  <si>
    <t>für dich unten die statistischen Werte vorbereitet.</t>
  </si>
  <si>
    <t>Ohne Finanzierung</t>
  </si>
  <si>
    <t>Mit Finanzierung (zB Leasing)</t>
  </si>
  <si>
    <t>Bitte korrigere unsere Angaben, falls du andere Zahlen hast</t>
  </si>
  <si>
    <t>Gebe an, was du für nachfolgende Positionen bezahlst</t>
  </si>
  <si>
    <t>Küche</t>
  </si>
  <si>
    <t>Strom</t>
  </si>
  <si>
    <t>Möbel</t>
  </si>
  <si>
    <t xml:space="preserve">Anteil Bestellungen über eigene Webseite </t>
  </si>
  <si>
    <t>Wasser</t>
  </si>
  <si>
    <t>pro M., falls nicht in der Miete</t>
  </si>
  <si>
    <t>Autos</t>
  </si>
  <si>
    <t>Anteil Bestellungen über eigene App</t>
  </si>
  <si>
    <t>Internet</t>
  </si>
  <si>
    <t>Weiteres</t>
  </si>
  <si>
    <t>Anteil Lieferando von allen Bestellungen</t>
  </si>
  <si>
    <t>Telefonie</t>
  </si>
  <si>
    <t>Anteil sonstige Portale</t>
  </si>
  <si>
    <t>Kassensystem</t>
  </si>
  <si>
    <t>Anteil Bestellungen sonstige (Telefon, etc.)</t>
  </si>
  <si>
    <t>Steuerberater</t>
  </si>
  <si>
    <t>pro Monat (inkl. Jahresabschluss)</t>
  </si>
  <si>
    <t xml:space="preserve">Achtung: </t>
  </si>
  <si>
    <t>Bankkosten</t>
  </si>
  <si>
    <t>von Investitionskosten müssen als Rücklage berücksichtigt werden</t>
  </si>
  <si>
    <t>Durschnittlicher Bestellwert netto</t>
  </si>
  <si>
    <t>Werbekosten</t>
  </si>
  <si>
    <t>Druckkosten (so gering wie möglich)</t>
  </si>
  <si>
    <t>(um in der Zukunft Ersatzinvestitionen durchführen zu können)</t>
  </si>
  <si>
    <t>Zur Info: ZB In München höher als in Rostock, Sushi höher als Döner</t>
  </si>
  <si>
    <t>Wartung</t>
  </si>
  <si>
    <t>Versicherungen</t>
  </si>
  <si>
    <t>Ein Lieferdienst läuft an und macht</t>
  </si>
  <si>
    <t>Provision Lieferando</t>
  </si>
  <si>
    <t>pro Bestellung</t>
  </si>
  <si>
    <t>im 1. Monat</t>
  </si>
  <si>
    <t>vom Zielumsatz (kannst gerne verändern)</t>
  </si>
  <si>
    <t>Provision sonstige Portale</t>
  </si>
  <si>
    <t>Gerne kannst du die 10% verändern</t>
  </si>
  <si>
    <t>im 2. Monat</t>
  </si>
  <si>
    <t>Kosten eigene Webseite</t>
  </si>
  <si>
    <t>ab 3. Monat</t>
  </si>
  <si>
    <t>Kosten eigene App</t>
  </si>
  <si>
    <t>pro Onlinebezahlte-Bestellung</t>
  </si>
  <si>
    <t xml:space="preserve">statistischer Wert </t>
  </si>
  <si>
    <t>Anteil Bestellungen</t>
  </si>
  <si>
    <t>, die online bezahlt werden</t>
  </si>
  <si>
    <t>Lieferungen</t>
  </si>
  <si>
    <t>(das sind statistische Werte,</t>
  </si>
  <si>
    <t>Abholung</t>
  </si>
  <si>
    <t xml:space="preserve"> du kannst aber gerne verändern)</t>
  </si>
  <si>
    <t>Wareneinsatz</t>
  </si>
  <si>
    <t>vom Umsatz (statistischer Wert)</t>
  </si>
  <si>
    <t>Warenverlust</t>
  </si>
  <si>
    <t>vom Einkauf</t>
  </si>
  <si>
    <t>Angaben zu deinen Einnahmen aus Restaurant</t>
  </si>
  <si>
    <t>Verpackung</t>
  </si>
  <si>
    <t>vom Umsatz</t>
  </si>
  <si>
    <t>Unvorhersehbare</t>
  </si>
  <si>
    <t>Anzahl Sitzplätze (das hast du oben eingegeben)</t>
  </si>
  <si>
    <t>Pro 20 bis 25 Sitzplätze brauchst du 1 Kellner</t>
  </si>
  <si>
    <t>Anzahl Kellner</t>
  </si>
  <si>
    <t>1 Kellner = 22,5 Sitzplätze</t>
  </si>
  <si>
    <t>Bei unter 25 Sitzpläzen kannst du als Inhaber bedienen</t>
  </si>
  <si>
    <t>Auslastung Sitzplatz im Schnitt</t>
  </si>
  <si>
    <t>kannst verändern</t>
  </si>
  <si>
    <r>
      <rPr>
        <rFont val="Calibri (Textkörper)"/>
        <b/>
        <i/>
        <color theme="1"/>
        <sz val="10.0"/>
        <u/>
      </rPr>
      <t>Zur Info statistische Werte</t>
    </r>
    <r>
      <rPr>
        <rFont val="Calibri"/>
        <color theme="1"/>
        <sz val="10.0"/>
      </rPr>
      <t xml:space="preserve">: Am Sonntag ist die Auslatung 200%, </t>
    </r>
  </si>
  <si>
    <t>am Montag hingegen 50%. Man kommt auf den Durchschnitt von 120%</t>
  </si>
  <si>
    <t>Durschnittlicher Umsatz pro Sitzplatz pro Tag bei 100%</t>
  </si>
  <si>
    <r>
      <rPr>
        <rFont val="Calibri (Textkörper)"/>
        <b/>
        <i/>
        <color theme="1"/>
        <sz val="10.0"/>
        <u/>
      </rPr>
      <t>Zur Info statistische Werte</t>
    </r>
    <r>
      <rPr>
        <rFont val="Calibri"/>
        <i/>
        <color theme="1"/>
        <sz val="10.0"/>
      </rPr>
      <t xml:space="preserve">: 21 EUR Brutto Umsatz pro Sitzplatz </t>
    </r>
  </si>
  <si>
    <t>(=17,65 EUR netto) bezieht  sich auf das einfache Restaurant</t>
  </si>
  <si>
    <t xml:space="preserve"> (keine gehobene Gastronomie)</t>
  </si>
  <si>
    <t>Anzahl Öffnungstage (Restaurant, kein Lieferdienst)</t>
  </si>
  <si>
    <t>Anzahl Öffnugsstunden pro Tag im Schnitt</t>
  </si>
  <si>
    <t>Nachstehend findest du</t>
  </si>
  <si>
    <t>Einnahmen-Ausgaben-Rechnung</t>
  </si>
  <si>
    <t>Grafische Auswertungen</t>
  </si>
  <si>
    <t>Investitionsberechnung</t>
  </si>
  <si>
    <t>Einnahme-Ausgaben Rechnung</t>
  </si>
  <si>
    <t>Einnahmen Lieferdienst</t>
  </si>
  <si>
    <t>über eigene Webseite</t>
  </si>
  <si>
    <t>über eigene App</t>
  </si>
  <si>
    <t>über Lieferando</t>
  </si>
  <si>
    <t>über sonstige Portale</t>
  </si>
  <si>
    <t>sontige Quellen</t>
  </si>
  <si>
    <t>Summe Einnahmen Lieferdienst</t>
  </si>
  <si>
    <t>Summe Einnahmen</t>
  </si>
  <si>
    <t>Ausgaben</t>
  </si>
  <si>
    <t>Miete</t>
  </si>
  <si>
    <t>Weitere Nebenkosten</t>
  </si>
  <si>
    <t>Personalkosten</t>
  </si>
  <si>
    <t>Fahrer</t>
  </si>
  <si>
    <t>Köche Lieferdienst</t>
  </si>
  <si>
    <t>Köche Restaurant</t>
  </si>
  <si>
    <t>Kellner</t>
  </si>
  <si>
    <t>Weitere Personalkosten</t>
  </si>
  <si>
    <t>Inhaber Gehalt</t>
  </si>
  <si>
    <t>Sonstige fixe Kosten</t>
  </si>
  <si>
    <t>online bezahlte Bestellungen</t>
  </si>
  <si>
    <t>Summe Ausgaben</t>
  </si>
  <si>
    <t>Finanzierungkosten</t>
  </si>
  <si>
    <t>Betriebsergebnis</t>
  </si>
  <si>
    <t>Investitions-Rechnung</t>
  </si>
  <si>
    <t>Ablösesumme</t>
  </si>
  <si>
    <t>Maklercourtage</t>
  </si>
  <si>
    <t>Umbau-Kosten</t>
  </si>
  <si>
    <t>Summe Investitionen</t>
  </si>
  <si>
    <t>Raumkosten</t>
  </si>
  <si>
    <t>Sonstige Kosten</t>
  </si>
  <si>
    <t>Investitionen kummuliert</t>
  </si>
  <si>
    <t>Betriebsergebnis kummuliert</t>
  </si>
  <si>
    <t xml:space="preserve">Betriebsergebnis </t>
  </si>
  <si>
    <t>auf einmal</t>
  </si>
  <si>
    <t>ja</t>
  </si>
  <si>
    <t>in Raten</t>
  </si>
  <si>
    <t>quartierlich</t>
  </si>
  <si>
    <t>halbjährlich</t>
  </si>
  <si>
    <t>jährlich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</si>
</sst>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#,##0\ &quot;€&quot;"/>
    <numFmt numFmtId="165" formatCode="#,##0.00\ &quot;€&quot;"/>
    <numFmt numFmtId="166" formatCode="[$-407]mmm/\ yy"/>
    <numFmt numFmtId="167" formatCode="_-* #,##0.00\ [$€-407]_-;\-* #,##0.00\ [$€-407]_-;_-* &quot;-&quot;??\ [$€-407]_-;_-@"/>
    <numFmt numFmtId="168" formatCode="_-* #,##0\ [$€-407]_-;\-* #,##0\ [$€-407]_-;_-* &quot;-&quot;??\ [$€-407]_-;_-@"/>
  </numFmts>
  <fonts count="24">
    <font>
      <sz val="12.0"/>
      <color theme="1"/>
      <name val="Arial"/>
    </font>
    <font>
      <b/>
      <i/>
      <u/>
      <sz val="12.0"/>
      <color theme="1"/>
      <name val="Calibri"/>
    </font>
    <font>
      <sz val="12.0"/>
      <color theme="1"/>
      <name val="Calibri"/>
    </font>
    <font>
      <b/>
      <sz val="12.0"/>
      <color rgb="FF2F5496"/>
      <name val="Calibri"/>
    </font>
    <font>
      <sz val="12.0"/>
      <color rgb="FF2F5496"/>
      <name val="Calibri"/>
    </font>
    <font>
      <b/>
      <sz val="10.0"/>
      <color rgb="FF2F5496"/>
      <name val="Calibri"/>
    </font>
    <font>
      <b/>
      <sz val="12.0"/>
      <color rgb="FFFF0000"/>
      <name val="Calibri"/>
    </font>
    <font>
      <i/>
      <sz val="10.0"/>
      <color theme="1"/>
      <name val="Calibri"/>
    </font>
    <font>
      <color theme="1"/>
      <name val="Calibri"/>
    </font>
    <font>
      <b/>
      <sz val="12.0"/>
      <color rgb="FF44546A"/>
      <name val="Century Gothic"/>
    </font>
    <font/>
    <font>
      <b/>
      <sz val="10.0"/>
      <color theme="0"/>
      <name val="Calibri"/>
    </font>
    <font>
      <b/>
      <sz val="10.0"/>
      <color theme="1"/>
      <name val="Calibri"/>
    </font>
    <font>
      <sz val="10.0"/>
      <color theme="1"/>
      <name val="Calibri"/>
    </font>
    <font>
      <b/>
      <i/>
      <u/>
      <sz val="10.0"/>
      <color theme="1"/>
      <name val="Calibri"/>
    </font>
    <font>
      <sz val="12.0"/>
      <color rgb="FF44546A"/>
      <name val="Century Gothic"/>
    </font>
    <font>
      <b/>
      <sz val="12.0"/>
      <color theme="1"/>
      <name val="Calibri"/>
    </font>
    <font>
      <u/>
      <sz val="10.0"/>
      <color theme="1"/>
      <name val="Calibri"/>
    </font>
    <font>
      <b/>
      <i/>
      <u/>
      <sz val="10.0"/>
      <color theme="1"/>
      <name val="Calibri"/>
    </font>
    <font>
      <i/>
      <sz val="12.0"/>
      <color theme="1"/>
      <name val="Calibri"/>
    </font>
    <font>
      <b/>
      <u/>
      <sz val="16.0"/>
      <color theme="1"/>
      <name val="Calibri"/>
    </font>
    <font>
      <b/>
      <u/>
      <sz val="12.0"/>
      <color theme="1"/>
      <name val="Calibri"/>
    </font>
    <font>
      <u/>
      <sz val="12.0"/>
      <color theme="1"/>
      <name val="Calibri"/>
    </font>
    <font>
      <b/>
      <sz val="14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00FDFF"/>
        <bgColor rgb="FF00FDFF"/>
      </patternFill>
    </fill>
    <fill>
      <patternFill patternType="solid">
        <fgColor rgb="FFFFFD78"/>
        <bgColor rgb="FFFFFD78"/>
      </patternFill>
    </fill>
    <fill>
      <patternFill patternType="solid">
        <fgColor theme="0"/>
        <bgColor theme="0"/>
      </patternFill>
    </fill>
    <fill>
      <patternFill patternType="solid">
        <fgColor rgb="FF2F5496"/>
        <bgColor rgb="FF2F5496"/>
      </patternFill>
    </fill>
    <fill>
      <patternFill patternType="solid">
        <fgColor rgb="FFB4C6E7"/>
        <bgColor rgb="FFB4C6E7"/>
      </patternFill>
    </fill>
  </fills>
  <borders count="32">
    <border/>
    <border>
      <left/>
      <right/>
      <top/>
      <bottom/>
    </border>
    <border>
      <left style="medium">
        <color rgb="FF44546A"/>
      </left>
      <top style="medium">
        <color rgb="FF44546A"/>
      </top>
      <bottom style="medium">
        <color rgb="FF44546A"/>
      </bottom>
    </border>
    <border>
      <top style="medium">
        <color rgb="FF44546A"/>
      </top>
      <bottom style="medium">
        <color rgb="FF44546A"/>
      </bottom>
    </border>
    <border>
      <right style="medium">
        <color rgb="FF44546A"/>
      </right>
      <top style="medium">
        <color rgb="FF44546A"/>
      </top>
      <bottom style="medium">
        <color rgb="FF44546A"/>
      </bottom>
    </border>
    <border>
      <left style="medium">
        <color rgb="FF44546A"/>
      </left>
      <top style="medium">
        <color rgb="FF44546A"/>
      </top>
      <bottom/>
    </border>
    <border>
      <top style="medium">
        <color rgb="FF44546A"/>
      </top>
      <bottom/>
    </border>
    <border>
      <right style="medium">
        <color rgb="FF44546A"/>
      </right>
      <top style="medium">
        <color rgb="FF44546A"/>
      </top>
      <bottom/>
    </border>
    <border>
      <left style="medium">
        <color rgb="FF44546A"/>
      </left>
    </border>
    <border>
      <right style="medium">
        <color rgb="FF44546A"/>
      </right>
    </border>
    <border>
      <left style="medium">
        <color rgb="FF44546A"/>
      </left>
      <top style="medium">
        <color rgb="FF44546A"/>
      </top>
    </border>
    <border>
      <left/>
      <right/>
      <top style="medium">
        <color rgb="FF44546A"/>
      </top>
      <bottom/>
    </border>
    <border>
      <top style="medium">
        <color rgb="FF44546A"/>
      </top>
    </border>
    <border>
      <right style="medium">
        <color rgb="FF44546A"/>
      </right>
      <top style="medium">
        <color rgb="FF44546A"/>
      </top>
    </border>
    <border>
      <left/>
      <right style="medium">
        <color rgb="FF44546A"/>
      </right>
      <top/>
      <bottom/>
    </border>
    <border>
      <left style="medium">
        <color rgb="FF44546A"/>
      </left>
      <bottom style="medium">
        <color rgb="FF44546A"/>
      </bottom>
    </border>
    <border>
      <bottom style="medium">
        <color rgb="FF44546A"/>
      </bottom>
    </border>
    <border>
      <right style="medium">
        <color rgb="FF44546A"/>
      </right>
      <bottom style="medium">
        <color rgb="FF44546A"/>
      </bottom>
    </border>
    <border>
      <left style="medium">
        <color rgb="FF44546A"/>
      </left>
      <right/>
      <top style="medium">
        <color rgb="FF44546A"/>
      </top>
      <bottom style="medium">
        <color rgb="FF44546A"/>
      </bottom>
    </border>
    <border>
      <left/>
      <right/>
      <top style="medium">
        <color rgb="FF44546A"/>
      </top>
      <bottom style="medium">
        <color rgb="FF44546A"/>
      </bottom>
    </border>
    <border>
      <left/>
      <right style="medium">
        <color rgb="FF44546A"/>
      </right>
      <top style="medium">
        <color rgb="FF44546A"/>
      </top>
      <bottom style="medium">
        <color rgb="FF44546A"/>
      </bottom>
    </border>
    <border>
      <left style="medium">
        <color rgb="FF44546A"/>
      </left>
      <right/>
      <top style="medium">
        <color rgb="FF44546A"/>
      </top>
      <bottom/>
    </border>
    <border>
      <left/>
      <right style="medium">
        <color rgb="FF44546A"/>
      </right>
      <top style="medium">
        <color rgb="FF44546A"/>
      </top>
      <bottom/>
    </border>
    <border>
      <left style="medium">
        <color rgb="FF44546A"/>
      </left>
      <right style="thin">
        <color rgb="FFBFBFBF"/>
      </right>
      <top style="medium">
        <color rgb="FF44546A"/>
      </top>
      <bottom style="medium">
        <color rgb="FF44546A"/>
      </bottom>
    </border>
    <border>
      <left style="thin">
        <color rgb="FFBFBFBF"/>
      </left>
      <right style="thin">
        <color rgb="FFBFBFBF"/>
      </right>
      <top style="medium">
        <color rgb="FF44546A"/>
      </top>
      <bottom style="medium">
        <color rgb="FF44546A"/>
      </bottom>
    </border>
    <border>
      <left style="thin">
        <color rgb="FFBFBFBF"/>
      </left>
      <right style="medium">
        <color rgb="FF44546A"/>
      </right>
      <top style="medium">
        <color rgb="FF44546A"/>
      </top>
      <bottom style="medium">
        <color rgb="FF44546A"/>
      </bottom>
    </border>
    <border>
      <left style="medium">
        <color rgb="FF44546A"/>
      </left>
      <right/>
      <top/>
      <bottom/>
    </border>
    <border>
      <left/>
      <right/>
      <top/>
      <bottom style="medium">
        <color rgb="FF44546A"/>
      </bottom>
    </border>
    <border>
      <left/>
      <right style="medium">
        <color rgb="FF44546A"/>
      </right>
      <top/>
      <bottom style="medium">
        <color rgb="FF44546A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07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Border="1" applyFont="1"/>
    <xf borderId="1" fillId="3" fontId="3" numFmtId="0" xfId="0" applyBorder="1" applyFill="1" applyFont="1"/>
    <xf borderId="1" fillId="3" fontId="4" numFmtId="0" xfId="0" applyBorder="1" applyFont="1"/>
    <xf borderId="1" fillId="3" fontId="5" numFmtId="164" xfId="0" applyAlignment="1" applyBorder="1" applyFont="1" applyNumberFormat="1">
      <alignment horizontal="center"/>
    </xf>
    <xf borderId="0" fillId="0" fontId="6" numFmtId="0" xfId="0" applyFont="1"/>
    <xf borderId="0" fillId="0" fontId="7" numFmtId="0" xfId="0" applyFont="1"/>
    <xf borderId="0" fillId="0" fontId="8" numFmtId="0" xfId="0" applyFont="1"/>
    <xf borderId="2" fillId="4" fontId="9" numFmtId="0" xfId="0" applyAlignment="1" applyBorder="1" applyFill="1" applyFont="1">
      <alignment horizontal="center" vertical="center"/>
    </xf>
    <xf borderId="3" fillId="0" fontId="10" numFmtId="0" xfId="0" applyBorder="1" applyFont="1"/>
    <xf borderId="4" fillId="0" fontId="10" numFmtId="0" xfId="0" applyBorder="1" applyFont="1"/>
    <xf borderId="2" fillId="5" fontId="11" numFmtId="0" xfId="0" applyAlignment="1" applyBorder="1" applyFill="1" applyFont="1">
      <alignment horizontal="left"/>
    </xf>
    <xf borderId="5" fillId="5" fontId="11" numFmtId="0" xfId="0" applyAlignment="1" applyBorder="1" applyFont="1">
      <alignment horizontal="left"/>
    </xf>
    <xf borderId="6" fillId="0" fontId="10" numFmtId="0" xfId="0" applyBorder="1" applyFont="1"/>
    <xf borderId="7" fillId="0" fontId="10" numFmtId="0" xfId="0" applyBorder="1" applyFont="1"/>
    <xf borderId="8" fillId="0" fontId="12" numFmtId="0" xfId="0" applyBorder="1" applyFont="1"/>
    <xf borderId="0" fillId="0" fontId="2" numFmtId="0" xfId="0" applyFont="1"/>
    <xf borderId="9" fillId="0" fontId="2" numFmtId="0" xfId="0" applyBorder="1" applyFont="1"/>
    <xf borderId="10" fillId="0" fontId="12" numFmtId="0" xfId="0" applyBorder="1" applyFont="1"/>
    <xf borderId="11" fillId="3" fontId="5" numFmtId="14" xfId="0" applyAlignment="1" applyBorder="1" applyFont="1" applyNumberFormat="1">
      <alignment horizontal="center"/>
    </xf>
    <xf borderId="12" fillId="0" fontId="7" numFmtId="0" xfId="0" applyBorder="1" applyFont="1"/>
    <xf borderId="13" fillId="0" fontId="13" numFmtId="0" xfId="0" applyBorder="1" applyFont="1"/>
    <xf borderId="0" fillId="0" fontId="13" numFmtId="0" xfId="0" applyFont="1"/>
    <xf borderId="14" fillId="3" fontId="5" numFmtId="164" xfId="0" applyAlignment="1" applyBorder="1" applyFont="1" applyNumberFormat="1">
      <alignment horizontal="center"/>
    </xf>
    <xf borderId="8" fillId="0" fontId="14" numFmtId="0" xfId="0" applyBorder="1" applyFont="1"/>
    <xf borderId="8" fillId="0" fontId="7" numFmtId="0" xfId="0" applyBorder="1" applyFont="1"/>
    <xf borderId="9" fillId="0" fontId="13" numFmtId="0" xfId="0" applyBorder="1" applyFont="1"/>
    <xf borderId="1" fillId="3" fontId="5" numFmtId="14" xfId="0" applyAlignment="1" applyBorder="1" applyFont="1" applyNumberFormat="1">
      <alignment horizontal="center"/>
    </xf>
    <xf borderId="8" fillId="0" fontId="2" numFmtId="0" xfId="0" applyBorder="1" applyFont="1"/>
    <xf borderId="14" fillId="3" fontId="5" numFmtId="3" xfId="0" applyAlignment="1" applyBorder="1" applyFont="1" applyNumberFormat="1">
      <alignment horizontal="center"/>
    </xf>
    <xf borderId="1" fillId="3" fontId="5" numFmtId="4" xfId="0" applyAlignment="1" applyBorder="1" applyFont="1" applyNumberFormat="1">
      <alignment horizontal="center"/>
    </xf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8" fillId="0" fontId="7" numFmtId="0" xfId="0" applyAlignment="1" applyBorder="1" applyFont="1">
      <alignment horizontal="right"/>
    </xf>
    <xf borderId="1" fillId="3" fontId="5" numFmtId="3" xfId="0" applyAlignment="1" applyBorder="1" applyFont="1" applyNumberFormat="1">
      <alignment horizontal="center"/>
    </xf>
    <xf borderId="3" fillId="0" fontId="13" numFmtId="0" xfId="0" applyBorder="1" applyFont="1"/>
    <xf borderId="18" fillId="4" fontId="9" numFmtId="0" xfId="0" applyAlignment="1" applyBorder="1" applyFont="1">
      <alignment horizontal="left" vertical="top"/>
    </xf>
    <xf borderId="19" fillId="4" fontId="15" numFmtId="0" xfId="0" applyAlignment="1" applyBorder="1" applyFont="1">
      <alignment horizontal="center" vertical="center"/>
    </xf>
    <xf borderId="20" fillId="4" fontId="15" numFmtId="0" xfId="0" applyAlignment="1" applyBorder="1" applyFont="1">
      <alignment horizontal="center" vertical="center"/>
    </xf>
    <xf borderId="1" fillId="3" fontId="5" numFmtId="165" xfId="0" applyAlignment="1" applyBorder="1" applyFont="1" applyNumberFormat="1">
      <alignment horizontal="center"/>
    </xf>
    <xf borderId="1" fillId="3" fontId="5" numFmtId="10" xfId="0" applyAlignment="1" applyBorder="1" applyFont="1" applyNumberFormat="1">
      <alignment horizontal="center"/>
    </xf>
    <xf quotePrefix="1" borderId="8" fillId="0" fontId="13" numFmtId="0" xfId="0" applyBorder="1" applyFont="1"/>
    <xf borderId="0" fillId="0" fontId="12" numFmtId="164" xfId="0" applyFont="1" applyNumberFormat="1"/>
    <xf borderId="21" fillId="5" fontId="11" numFmtId="0" xfId="0" applyAlignment="1" applyBorder="1" applyFont="1">
      <alignment horizontal="left"/>
    </xf>
    <xf borderId="11" fillId="5" fontId="11" numFmtId="0" xfId="0" applyAlignment="1" applyBorder="1" applyFont="1">
      <alignment horizontal="left"/>
    </xf>
    <xf borderId="22" fillId="5" fontId="11" numFmtId="0" xfId="0" applyAlignment="1" applyBorder="1" applyFont="1">
      <alignment horizontal="left"/>
    </xf>
    <xf borderId="0" fillId="0" fontId="12" numFmtId="0" xfId="0" applyFont="1"/>
    <xf borderId="9" fillId="0" fontId="12" numFmtId="0" xfId="0" applyBorder="1" applyFont="1"/>
    <xf borderId="8" fillId="0" fontId="13" numFmtId="0" xfId="0" applyBorder="1" applyFont="1"/>
    <xf borderId="15" fillId="0" fontId="13" numFmtId="0" xfId="0" applyBorder="1" applyFont="1"/>
    <xf borderId="17" fillId="0" fontId="13" numFmtId="0" xfId="0" applyBorder="1" applyFont="1"/>
    <xf quotePrefix="1" borderId="8" fillId="0" fontId="16" numFmtId="0" xfId="0" applyAlignment="1" applyBorder="1" applyFont="1">
      <alignment horizontal="right"/>
    </xf>
    <xf borderId="9" fillId="0" fontId="13" numFmtId="9" xfId="0" applyBorder="1" applyFont="1" applyNumberFormat="1"/>
    <xf borderId="9" fillId="0" fontId="7" numFmtId="0" xfId="0" applyBorder="1" applyFont="1"/>
    <xf borderId="23" fillId="5" fontId="11" numFmtId="0" xfId="0" applyAlignment="1" applyBorder="1" applyFont="1">
      <alignment horizontal="left"/>
    </xf>
    <xf borderId="24" fillId="5" fontId="11" numFmtId="0" xfId="0" applyAlignment="1" applyBorder="1" applyFont="1">
      <alignment horizontal="left"/>
    </xf>
    <xf borderId="25" fillId="5" fontId="11" numFmtId="0" xfId="0" applyAlignment="1" applyBorder="1" applyFont="1">
      <alignment horizontal="left"/>
    </xf>
    <xf borderId="26" fillId="3" fontId="5" numFmtId="164" xfId="0" applyAlignment="1" applyBorder="1" applyFont="1" applyNumberFormat="1">
      <alignment horizontal="center"/>
    </xf>
    <xf borderId="0" fillId="0" fontId="7" numFmtId="0" xfId="0" applyAlignment="1" applyFont="1">
      <alignment horizontal="left"/>
    </xf>
    <xf borderId="12" fillId="0" fontId="2" numFmtId="0" xfId="0" applyBorder="1" applyFont="1"/>
    <xf borderId="17" fillId="0" fontId="13" numFmtId="164" xfId="0" applyBorder="1" applyFont="1" applyNumberFormat="1"/>
    <xf borderId="12" fillId="0" fontId="13" numFmtId="3" xfId="0" applyBorder="1" applyFont="1" applyNumberFormat="1"/>
    <xf borderId="18" fillId="4" fontId="9" numFmtId="0" xfId="0" applyAlignment="1" applyBorder="1" applyFont="1">
      <alignment horizontal="left" vertical="center"/>
    </xf>
    <xf borderId="0" fillId="0" fontId="17" numFmtId="0" xfId="0" applyFont="1"/>
    <xf borderId="14" fillId="3" fontId="5" numFmtId="9" xfId="0" applyAlignment="1" applyBorder="1" applyFont="1" applyNumberFormat="1">
      <alignment horizontal="center"/>
    </xf>
    <xf borderId="12" fillId="0" fontId="13" numFmtId="0" xfId="0" applyBorder="1" applyFont="1"/>
    <xf borderId="0" fillId="0" fontId="18" numFmtId="0" xfId="0" applyFont="1"/>
    <xf borderId="1" fillId="3" fontId="5" numFmtId="9" xfId="0" applyAlignment="1" applyBorder="1" applyFont="1" applyNumberFormat="1">
      <alignment horizontal="center"/>
    </xf>
    <xf borderId="14" fillId="3" fontId="5" numFmtId="165" xfId="0" applyAlignment="1" applyBorder="1" applyFont="1" applyNumberFormat="1">
      <alignment horizontal="center"/>
    </xf>
    <xf borderId="0" fillId="0" fontId="19" numFmtId="0" xfId="0" applyFont="1"/>
    <xf borderId="0" fillId="0" fontId="13" numFmtId="9" xfId="0" applyFont="1" applyNumberFormat="1"/>
    <xf borderId="27" fillId="3" fontId="5" numFmtId="9" xfId="0" applyAlignment="1" applyBorder="1" applyFont="1" applyNumberFormat="1">
      <alignment horizontal="center"/>
    </xf>
    <xf borderId="16" fillId="0" fontId="13" numFmtId="0" xfId="0" applyBorder="1" applyFont="1"/>
    <xf borderId="27" fillId="3" fontId="5" numFmtId="10" xfId="0" applyAlignment="1" applyBorder="1" applyFont="1" applyNumberFormat="1">
      <alignment horizontal="center"/>
    </xf>
    <xf borderId="14" fillId="6" fontId="13" numFmtId="3" xfId="0" applyBorder="1" applyFill="1" applyFont="1" applyNumberFormat="1"/>
    <xf borderId="9" fillId="0" fontId="19" numFmtId="0" xfId="0" applyBorder="1" applyFont="1"/>
    <xf borderId="8" fillId="0" fontId="7" numFmtId="0" xfId="0" applyAlignment="1" applyBorder="1" applyFont="1">
      <alignment vertical="center"/>
    </xf>
    <xf borderId="28" fillId="6" fontId="13" numFmtId="3" xfId="0" applyBorder="1" applyFont="1" applyNumberFormat="1"/>
    <xf borderId="0" fillId="0" fontId="20" numFmtId="0" xfId="0" applyFont="1"/>
    <xf borderId="0" fillId="0" fontId="16" numFmtId="0" xfId="0" applyFont="1"/>
    <xf borderId="0" fillId="0" fontId="16" numFmtId="166" xfId="0" applyFont="1" applyNumberFormat="1"/>
    <xf borderId="0" fillId="0" fontId="2" numFmtId="166" xfId="0" applyFont="1" applyNumberFormat="1"/>
    <xf borderId="0" fillId="0" fontId="21" numFmtId="0" xfId="0" applyFont="1"/>
    <xf borderId="0" fillId="0" fontId="2" numFmtId="165" xfId="0" applyFont="1" applyNumberFormat="1"/>
    <xf borderId="0" fillId="0" fontId="19" numFmtId="165" xfId="0" applyFont="1" applyNumberFormat="1"/>
    <xf borderId="29" fillId="3" fontId="16" numFmtId="0" xfId="0" applyBorder="1" applyFont="1"/>
    <xf borderId="30" fillId="3" fontId="16" numFmtId="0" xfId="0" applyBorder="1" applyFont="1"/>
    <xf borderId="30" fillId="3" fontId="16" numFmtId="165" xfId="0" applyBorder="1" applyFont="1" applyNumberFormat="1"/>
    <xf borderId="31" fillId="3" fontId="16" numFmtId="165" xfId="0" applyBorder="1" applyFont="1" applyNumberFormat="1"/>
    <xf borderId="0" fillId="0" fontId="2" numFmtId="164" xfId="0" applyFont="1" applyNumberFormat="1"/>
    <xf borderId="0" fillId="0" fontId="22" numFmtId="0" xfId="0" applyFont="1"/>
    <xf borderId="30" fillId="3" fontId="16" numFmtId="164" xfId="0" applyBorder="1" applyFont="1" applyNumberFormat="1"/>
    <xf borderId="31" fillId="3" fontId="16" numFmtId="164" xfId="0" applyBorder="1" applyFont="1" applyNumberFormat="1"/>
    <xf borderId="0" fillId="0" fontId="8" numFmtId="164" xfId="0" applyFont="1" applyNumberFormat="1"/>
    <xf borderId="29" fillId="3" fontId="23" numFmtId="0" xfId="0" applyBorder="1" applyFont="1"/>
    <xf borderId="30" fillId="3" fontId="23" numFmtId="0" xfId="0" applyBorder="1" applyFont="1"/>
    <xf borderId="30" fillId="3" fontId="23" numFmtId="164" xfId="0" applyBorder="1" applyFont="1" applyNumberFormat="1"/>
    <xf borderId="31" fillId="3" fontId="23" numFmtId="164" xfId="0" applyBorder="1" applyFont="1" applyNumberFormat="1"/>
    <xf borderId="0" fillId="0" fontId="2" numFmtId="167" xfId="0" applyFont="1" applyNumberFormat="1"/>
    <xf borderId="0" fillId="0" fontId="2" numFmtId="9" xfId="0" applyFont="1" applyNumberFormat="1"/>
    <xf borderId="0" fillId="0" fontId="8" numFmtId="165" xfId="0" applyFont="1" applyNumberFormat="1"/>
    <xf borderId="0" fillId="0" fontId="2" numFmtId="14" xfId="0" applyFont="1" applyNumberFormat="1"/>
    <xf borderId="0" fillId="0" fontId="2" numFmtId="1" xfId="0" applyFont="1" applyNumberFormat="1"/>
    <xf borderId="0" fillId="0" fontId="2" numFmtId="168" xfId="0" applyFont="1" applyNumberFormat="1"/>
    <xf borderId="0" fillId="0" fontId="2" numFmtId="17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Verteilung der Einnahmen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Grafiken!$B$4:$B$5</c:f>
            </c:strRef>
          </c:cat>
          <c:val>
            <c:numRef>
              <c:f>Grafiken!$C$4:$C$5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 i="0" sz="14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Break-Even Investitionen</a:t>
            </a:r>
          </a:p>
        </c:rich>
      </c:tx>
      <c:overlay val="0"/>
    </c:title>
    <c:plotArea>
      <c:layout/>
      <c:lineChart>
        <c:ser>
          <c:idx val="0"/>
          <c:order val="0"/>
          <c:tx>
            <c:v>Investitionen kummuliert</c:v>
          </c:tx>
          <c:spPr>
            <a:ln cmpd="sng"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Grafiken!$E$143:$W$143</c:f>
            </c:strRef>
          </c:cat>
          <c:val>
            <c:numRef>
              <c:f>Grafiken!$E$144:$W$144</c:f>
              <c:numCache/>
            </c:numRef>
          </c:val>
          <c:smooth val="0"/>
        </c:ser>
        <c:ser>
          <c:idx val="1"/>
          <c:order val="1"/>
          <c:tx>
            <c:v>Betriebsergebnis kummuliert</c:v>
          </c:tx>
          <c:spPr>
            <a:ln cmpd="sng" w="28575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Grafiken!$E$143:$W$143</c:f>
            </c:strRef>
          </c:cat>
          <c:val>
            <c:numRef>
              <c:f>Grafiken!$E$145:$W$145</c:f>
              <c:numCache/>
            </c:numRef>
          </c:val>
          <c:smooth val="0"/>
        </c:ser>
        <c:axId val="1913125822"/>
        <c:axId val="1758014462"/>
      </c:lineChart>
      <c:catAx>
        <c:axId val="191312582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758014462"/>
      </c:catAx>
      <c:valAx>
        <c:axId val="175801446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913125822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Vertriebsquellen Lieferdienst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Grafiken!$B$34:$B$38</c:f>
            </c:strRef>
          </c:cat>
          <c:val>
            <c:numRef>
              <c:f>Grafiken!$C$34:$C$38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Kostenstruktur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Grafiken!$B$66:$B$69</c:f>
            </c:strRef>
          </c:cat>
          <c:val>
            <c:numRef>
              <c:f>Grafiken!$C$66:$C$69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Break-Even</a:t>
            </a:r>
          </a:p>
        </c:rich>
      </c:tx>
      <c:overlay val="0"/>
    </c:title>
    <c:plotArea>
      <c:layout/>
      <c:lineChart>
        <c:ser>
          <c:idx val="0"/>
          <c:order val="0"/>
          <c:tx>
            <c:v>Summe Einnahmen</c:v>
          </c:tx>
          <c:spPr>
            <a:ln cmpd="sng"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Grafiken!$E$108:$W$108</c:f>
            </c:strRef>
          </c:cat>
          <c:val>
            <c:numRef>
              <c:f>Grafiken!$E$109:$W$109</c:f>
              <c:numCache/>
            </c:numRef>
          </c:val>
          <c:smooth val="0"/>
        </c:ser>
        <c:ser>
          <c:idx val="1"/>
          <c:order val="1"/>
          <c:tx>
            <c:v>Summe Ausgaben</c:v>
          </c:tx>
          <c:spPr>
            <a:ln cmpd="sng" w="28575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Grafiken!$E$108:$W$108</c:f>
            </c:strRef>
          </c:cat>
          <c:val>
            <c:numRef>
              <c:f>Grafiken!$E$110:$W$110</c:f>
              <c:numCache/>
            </c:numRef>
          </c:val>
          <c:smooth val="0"/>
        </c:ser>
        <c:axId val="29711018"/>
        <c:axId val="1606467565"/>
      </c:lineChart>
      <c:catAx>
        <c:axId val="2971101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606467565"/>
      </c:catAx>
      <c:valAx>
        <c:axId val="160646756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29711018"/>
      </c:valAx>
    </c:plotArea>
    <c:legend>
      <c:legendPos val="b"/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Break-Even Investitionen</a:t>
            </a:r>
          </a:p>
        </c:rich>
      </c:tx>
      <c:overlay val="0"/>
    </c:title>
    <c:plotArea>
      <c:layout/>
      <c:lineChart>
        <c:ser>
          <c:idx val="0"/>
          <c:order val="0"/>
          <c:tx>
            <c:v>Investitionen kummuliert</c:v>
          </c:tx>
          <c:spPr>
            <a:ln cmpd="sng"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Grafiken!$E$143:$W$143</c:f>
            </c:strRef>
          </c:cat>
          <c:val>
            <c:numRef>
              <c:f>Grafiken!$E$144:$W$144</c:f>
              <c:numCache/>
            </c:numRef>
          </c:val>
          <c:smooth val="0"/>
        </c:ser>
        <c:ser>
          <c:idx val="1"/>
          <c:order val="1"/>
          <c:tx>
            <c:v>Betriebsergebnis kummuliert</c:v>
          </c:tx>
          <c:spPr>
            <a:ln cmpd="sng" w="28575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Grafiken!$E$143:$W$143</c:f>
            </c:strRef>
          </c:cat>
          <c:val>
            <c:numRef>
              <c:f>Grafiken!$E$145:$W$145</c:f>
              <c:numCache/>
            </c:numRef>
          </c:val>
          <c:smooth val="0"/>
        </c:ser>
        <c:axId val="27165127"/>
        <c:axId val="515306084"/>
      </c:lineChart>
      <c:catAx>
        <c:axId val="271651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515306084"/>
      </c:catAx>
      <c:valAx>
        <c:axId val="51530608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27165127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Verteilung der Einnahmen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Grafiken!$B$4:$B$5</c:f>
            </c:strRef>
          </c:cat>
          <c:val>
            <c:numRef>
              <c:f>Grafiken!$C$4:$C$5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Vertriebsquellen Lieferdienst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Grafiken!$B$34:$B$38</c:f>
            </c:strRef>
          </c:cat>
          <c:val>
            <c:numRef>
              <c:f>Grafiken!$C$34:$C$38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Kostenstruktur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Grafiken!$B$66:$B$69</c:f>
            </c:strRef>
          </c:cat>
          <c:val>
            <c:numRef>
              <c:f>Grafiken!$C$66:$C$69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Break-Even</a:t>
            </a:r>
          </a:p>
        </c:rich>
      </c:tx>
      <c:overlay val="0"/>
    </c:title>
    <c:plotArea>
      <c:layout/>
      <c:lineChart>
        <c:ser>
          <c:idx val="0"/>
          <c:order val="0"/>
          <c:tx>
            <c:v>Summe Einnahmen</c:v>
          </c:tx>
          <c:spPr>
            <a:ln cmpd="sng"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Grafiken!$E$108:$W$108</c:f>
            </c:strRef>
          </c:cat>
          <c:val>
            <c:numRef>
              <c:f>Grafiken!$E$109:$W$109</c:f>
              <c:numCache/>
            </c:numRef>
          </c:val>
          <c:smooth val="0"/>
        </c:ser>
        <c:ser>
          <c:idx val="1"/>
          <c:order val="1"/>
          <c:tx>
            <c:v>Summe Ausgaben</c:v>
          </c:tx>
          <c:spPr>
            <a:ln cmpd="sng" w="28575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Grafiken!$E$108:$W$108</c:f>
            </c:strRef>
          </c:cat>
          <c:val>
            <c:numRef>
              <c:f>Grafiken!$E$110:$W$110</c:f>
              <c:numCache/>
            </c:numRef>
          </c:val>
          <c:smooth val="0"/>
        </c:ser>
        <c:axId val="1414086152"/>
        <c:axId val="1115499759"/>
      </c:lineChart>
      <c:catAx>
        <c:axId val="1414086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115499759"/>
      </c:catAx>
      <c:valAx>
        <c:axId val="111549975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414086152"/>
      </c:valAx>
    </c:plotArea>
    <c:legend>
      <c:legendPos val="b"/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Relationship Id="rId3" Type="http://schemas.openxmlformats.org/officeDocument/2006/relationships/chart" Target="../charts/chart8.xml"/><Relationship Id="rId4" Type="http://schemas.openxmlformats.org/officeDocument/2006/relationships/chart" Target="../charts/chart9.xml"/><Relationship Id="rId5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400050</xdr:colOff>
      <xdr:row>71</xdr:row>
      <xdr:rowOff>0</xdr:rowOff>
    </xdr:from>
    <xdr:ext cx="7153275" cy="531495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12</xdr:col>
      <xdr:colOff>0</xdr:colOff>
      <xdr:row>71</xdr:row>
      <xdr:rowOff>0</xdr:rowOff>
    </xdr:from>
    <xdr:ext cx="6981825" cy="5286375"/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2</xdr:col>
      <xdr:colOff>0</xdr:colOff>
      <xdr:row>100</xdr:row>
      <xdr:rowOff>0</xdr:rowOff>
    </xdr:from>
    <xdr:ext cx="7210425" cy="5524500"/>
    <xdr:graphicFrame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12</xdr:col>
      <xdr:colOff>0</xdr:colOff>
      <xdr:row>100</xdr:row>
      <xdr:rowOff>0</xdr:rowOff>
    </xdr:from>
    <xdr:ext cx="8629650" cy="5486400"/>
    <xdr:graphicFrame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3</xdr:col>
      <xdr:colOff>0</xdr:colOff>
      <xdr:row>149</xdr:row>
      <xdr:rowOff>0</xdr:rowOff>
    </xdr:from>
    <xdr:ext cx="11191875" cy="5562600"/>
    <xdr:graphicFrame>
      <xdr:nvGraphicFramePr>
        <xdr:cNvPr id="5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1419225</xdr:colOff>
      <xdr:row>7</xdr:row>
      <xdr:rowOff>66675</xdr:rowOff>
    </xdr:from>
    <xdr:ext cx="6010275" cy="4495800"/>
    <xdr:graphicFrame>
      <xdr:nvGraphicFramePr>
        <xdr:cNvPr id="6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</xdr:col>
      <xdr:colOff>1276350</xdr:colOff>
      <xdr:row>39</xdr:row>
      <xdr:rowOff>104775</xdr:rowOff>
    </xdr:from>
    <xdr:ext cx="6200775" cy="4467225"/>
    <xdr:graphicFrame>
      <xdr:nvGraphicFramePr>
        <xdr:cNvPr id="7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</xdr:col>
      <xdr:colOff>1085850</xdr:colOff>
      <xdr:row>75</xdr:row>
      <xdr:rowOff>95250</xdr:rowOff>
    </xdr:from>
    <xdr:ext cx="7610475" cy="5534025"/>
    <xdr:graphicFrame>
      <xdr:nvGraphicFramePr>
        <xdr:cNvPr id="8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2</xdr:col>
      <xdr:colOff>876300</xdr:colOff>
      <xdr:row>111</xdr:row>
      <xdr:rowOff>171450</xdr:rowOff>
    </xdr:from>
    <xdr:ext cx="8905875" cy="4800600"/>
    <xdr:graphicFrame>
      <xdr:nvGraphicFramePr>
        <xdr:cNvPr id="9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7</xdr:col>
      <xdr:colOff>38100</xdr:colOff>
      <xdr:row>153</xdr:row>
      <xdr:rowOff>19050</xdr:rowOff>
    </xdr:from>
    <xdr:ext cx="11268075" cy="4314825"/>
    <xdr:graphicFrame>
      <xdr:nvGraphicFramePr>
        <xdr:cNvPr id="10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.89"/>
    <col customWidth="1" min="2" max="2" width="11.22"/>
    <col customWidth="1" min="3" max="3" width="10.78"/>
    <col customWidth="1" min="4" max="4" width="9.44"/>
    <col customWidth="1" min="5" max="5" width="8.33"/>
    <col customWidth="1" min="6" max="6" width="4.22"/>
    <col customWidth="1" min="7" max="7" width="12.78"/>
    <col customWidth="1" min="8" max="8" width="9.0"/>
    <col customWidth="1" min="9" max="9" width="8.33"/>
    <col customWidth="1" min="10" max="10" width="10.78"/>
    <col customWidth="1" min="11" max="11" width="4.22"/>
    <col customWidth="1" min="12" max="13" width="8.33"/>
    <col customWidth="1" min="14" max="14" width="12.56"/>
    <col customWidth="1" min="15" max="15" width="10.11"/>
    <col customWidth="1" min="16" max="16" width="4.33"/>
    <col customWidth="1" min="17" max="18" width="8.33"/>
    <col customWidth="1" min="19" max="19" width="11.33"/>
    <col customWidth="1" min="20" max="20" width="31.44"/>
    <col customWidth="1" min="21" max="26" width="8.33"/>
  </cols>
  <sheetData>
    <row r="1" ht="15.7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5.75" customHeight="1"/>
    <row r="3" ht="15.75" customHeight="1">
      <c r="B3" s="3" t="s">
        <v>1</v>
      </c>
      <c r="C3" s="4"/>
      <c r="D3" s="4"/>
      <c r="E3" s="4"/>
      <c r="G3" s="5">
        <v>0.0</v>
      </c>
      <c r="H3" s="3" t="s">
        <v>2</v>
      </c>
      <c r="I3" s="3"/>
      <c r="J3" s="3"/>
      <c r="K3" s="3"/>
      <c r="L3" s="3"/>
      <c r="M3" s="3"/>
      <c r="N3" s="3"/>
    </row>
    <row r="4" ht="15.75" customHeight="1"/>
    <row r="5" ht="15.75" customHeight="1"/>
    <row r="6" ht="15.75" customHeight="1">
      <c r="B6" s="6" t="s">
        <v>3</v>
      </c>
      <c r="D6" s="7" t="s">
        <v>4</v>
      </c>
      <c r="F6" s="8" t="str">
        <f>IF(SUM(O37:O41)&lt;&gt;100%,"Fehler! Summe der Anteile der Bestellungen (Spalte O) ergibt keine 100%!","keine Fehler")</f>
        <v>keine Fehler</v>
      </c>
    </row>
    <row r="7" ht="15.75" customHeight="1">
      <c r="D7" s="7" t="s">
        <v>5</v>
      </c>
      <c r="F7" s="8" t="str">
        <f>IF(S22&lt;9.35,"Fehler! Mindestlohn beachten in der Zelle S17","kein Fehler")</f>
        <v>kein Fehler</v>
      </c>
    </row>
    <row r="8" ht="15.75" customHeight="1">
      <c r="D8" s="7" t="s">
        <v>6</v>
      </c>
      <c r="F8" s="8" t="str">
        <f>IF(SUM(M52:M53)&lt;&gt;100%,"Fehler! Summe der Lieferung und Abholung (Spalte M) ergibt keine 100%!","keine Fehler")</f>
        <v>keine Fehler</v>
      </c>
    </row>
    <row r="9" ht="15.75" customHeight="1">
      <c r="D9" s="7" t="s">
        <v>7</v>
      </c>
      <c r="F9" s="8" t="str">
        <f>IF(H18&lt;H17,"Fehler! Betriebsstart vor Mietbeginn?","keine Fehler")</f>
        <v>keine Fehler</v>
      </c>
    </row>
    <row r="10" ht="15.75" customHeight="1">
      <c r="D10" s="7" t="s">
        <v>8</v>
      </c>
      <c r="F10" s="8" t="str">
        <f>IF(AND(O17="ja",O19&gt;0),"Fehler! Du machst NUR Lieferdienst, aber gibst Sitzplätze ein","keine Fehler")</f>
        <v>keine Fehler</v>
      </c>
    </row>
    <row r="11" ht="15.75" customHeight="1">
      <c r="D11" s="7" t="s">
        <v>9</v>
      </c>
      <c r="F11" s="8" t="str">
        <f>IF(AND(O17="nein",O19=0),"Fehler! Du machst auch Restaurant dann gib doch die Sitzplätze ein","keine Fehler")</f>
        <v>keine Fehler</v>
      </c>
    </row>
    <row r="12" ht="15.75" customHeight="1">
      <c r="D12" s="7" t="s">
        <v>10</v>
      </c>
      <c r="F12" s="8" t="str">
        <f>IF(AND(C18&gt;0,C21=0),"Fehler! Du zahlst Ablöse aber Anzahl von Raten 0!Wenn du auf einmal bezahlst, dann trage 1 ein","keine Fehler")</f>
        <v>keine Fehler</v>
      </c>
    </row>
    <row r="13" ht="15.75" customHeight="1"/>
    <row r="14" ht="15.75" customHeight="1">
      <c r="B14" s="9" t="s">
        <v>11</v>
      </c>
      <c r="C14" s="10"/>
      <c r="D14" s="10"/>
      <c r="E14" s="11"/>
      <c r="G14" s="9" t="s">
        <v>12</v>
      </c>
      <c r="H14" s="10"/>
      <c r="I14" s="10"/>
      <c r="J14" s="11"/>
      <c r="L14" s="9" t="s">
        <v>13</v>
      </c>
      <c r="M14" s="10"/>
      <c r="N14" s="10"/>
      <c r="O14" s="11"/>
      <c r="Q14" s="9" t="s">
        <v>14</v>
      </c>
      <c r="R14" s="10"/>
      <c r="S14" s="10"/>
      <c r="T14" s="11"/>
    </row>
    <row r="15" ht="15.75" customHeight="1"/>
    <row r="16" ht="15.75" customHeight="1">
      <c r="B16" s="12" t="s">
        <v>15</v>
      </c>
      <c r="C16" s="10"/>
      <c r="D16" s="10"/>
      <c r="E16" s="11"/>
      <c r="G16" s="12" t="s">
        <v>16</v>
      </c>
      <c r="H16" s="10"/>
      <c r="I16" s="10"/>
      <c r="J16" s="11"/>
      <c r="L16" s="13" t="s">
        <v>17</v>
      </c>
      <c r="M16" s="14"/>
      <c r="N16" s="14"/>
      <c r="O16" s="15"/>
      <c r="Q16" s="13" t="s">
        <v>18</v>
      </c>
      <c r="R16" s="14"/>
      <c r="S16" s="14"/>
      <c r="T16" s="15"/>
    </row>
    <row r="17" ht="15.75" customHeight="1">
      <c r="B17" s="16" t="s">
        <v>19</v>
      </c>
      <c r="C17" s="17"/>
      <c r="D17" s="17"/>
      <c r="E17" s="18"/>
      <c r="G17" s="19" t="s">
        <v>20</v>
      </c>
      <c r="H17" s="20">
        <v>44105.0</v>
      </c>
      <c r="I17" s="21" t="s">
        <v>21</v>
      </c>
      <c r="J17" s="22"/>
      <c r="L17" s="16" t="s">
        <v>22</v>
      </c>
      <c r="M17" s="23"/>
      <c r="N17" s="17"/>
      <c r="O17" s="24" t="s">
        <v>23</v>
      </c>
      <c r="Q17" s="25" t="s">
        <v>24</v>
      </c>
      <c r="R17" s="17"/>
      <c r="S17" s="17"/>
      <c r="T17" s="18"/>
      <c r="U17" s="23"/>
    </row>
    <row r="18" ht="15.75" customHeight="1">
      <c r="B18" s="26" t="s">
        <v>25</v>
      </c>
      <c r="C18" s="5">
        <v>10000.0</v>
      </c>
      <c r="D18" s="23"/>
      <c r="E18" s="27"/>
      <c r="G18" s="16" t="s">
        <v>7</v>
      </c>
      <c r="H18" s="28">
        <v>44166.0</v>
      </c>
      <c r="I18" s="7" t="s">
        <v>26</v>
      </c>
      <c r="J18" s="27"/>
      <c r="L18" s="29"/>
      <c r="M18" s="23"/>
      <c r="N18" s="23"/>
      <c r="O18" s="18"/>
      <c r="Q18" s="29"/>
      <c r="R18" s="17"/>
      <c r="S18" s="17"/>
      <c r="T18" s="18"/>
      <c r="U18" s="23"/>
    </row>
    <row r="19" ht="15.75" customHeight="1">
      <c r="B19" s="29"/>
      <c r="C19" s="17"/>
      <c r="D19" s="17"/>
      <c r="E19" s="18"/>
      <c r="G19" s="29"/>
      <c r="H19" s="17"/>
      <c r="I19" s="7" t="s">
        <v>27</v>
      </c>
      <c r="J19" s="18"/>
      <c r="L19" s="16" t="s">
        <v>28</v>
      </c>
      <c r="M19" s="23"/>
      <c r="N19" s="23"/>
      <c r="O19" s="30">
        <v>25.0</v>
      </c>
      <c r="Q19" s="16" t="s">
        <v>29</v>
      </c>
      <c r="R19" s="17"/>
      <c r="S19" s="31">
        <v>4.0</v>
      </c>
      <c r="T19" s="27" t="s">
        <v>30</v>
      </c>
      <c r="U19" s="23"/>
    </row>
    <row r="20" ht="15.75" customHeight="1">
      <c r="B20" s="16" t="s">
        <v>31</v>
      </c>
      <c r="C20" s="23"/>
      <c r="D20" s="23"/>
      <c r="E20" s="27"/>
      <c r="G20" s="29"/>
      <c r="H20" s="17"/>
      <c r="I20" s="17"/>
      <c r="J20" s="18"/>
      <c r="L20" s="32"/>
      <c r="M20" s="33"/>
      <c r="N20" s="33"/>
      <c r="O20" s="34"/>
      <c r="Q20" s="16" t="s">
        <v>32</v>
      </c>
      <c r="R20" s="17"/>
      <c r="S20" s="31">
        <v>4.0</v>
      </c>
      <c r="T20" s="27" t="s">
        <v>33</v>
      </c>
    </row>
    <row r="21" ht="15.75" customHeight="1">
      <c r="B21" s="35" t="s">
        <v>34</v>
      </c>
      <c r="C21" s="36">
        <v>4.0</v>
      </c>
      <c r="D21" s="23"/>
      <c r="E21" s="27"/>
      <c r="G21" s="16" t="s">
        <v>35</v>
      </c>
      <c r="H21" s="5">
        <v>600.0</v>
      </c>
      <c r="I21" s="23" t="s">
        <v>36</v>
      </c>
      <c r="J21" s="27"/>
      <c r="L21" s="37"/>
      <c r="M21" s="37"/>
      <c r="N21" s="37"/>
      <c r="O21" s="37"/>
      <c r="Q21" s="16" t="s">
        <v>37</v>
      </c>
      <c r="R21" s="17"/>
      <c r="S21" s="31">
        <v>22.5</v>
      </c>
      <c r="T21" s="27" t="s">
        <v>38</v>
      </c>
      <c r="U21" s="23"/>
    </row>
    <row r="22" ht="15.75" customHeight="1">
      <c r="B22" s="29"/>
      <c r="C22" s="17"/>
      <c r="D22" s="17"/>
      <c r="E22" s="18"/>
      <c r="G22" s="16" t="s">
        <v>39</v>
      </c>
      <c r="H22" s="5">
        <v>100.0</v>
      </c>
      <c r="I22" s="23" t="s">
        <v>36</v>
      </c>
      <c r="J22" s="27"/>
      <c r="L22" s="38" t="s">
        <v>40</v>
      </c>
      <c r="M22" s="39"/>
      <c r="N22" s="39"/>
      <c r="O22" s="40"/>
      <c r="Q22" s="16" t="s">
        <v>41</v>
      </c>
      <c r="R22" s="17"/>
      <c r="S22" s="41">
        <v>9.35</v>
      </c>
      <c r="T22" s="27" t="s">
        <v>42</v>
      </c>
      <c r="U22" s="23"/>
    </row>
    <row r="23" ht="15.75" customHeight="1">
      <c r="B23" s="16" t="s">
        <v>43</v>
      </c>
      <c r="C23" s="23"/>
      <c r="D23" s="23"/>
      <c r="E23" s="27"/>
      <c r="G23" s="29"/>
      <c r="H23" s="17"/>
      <c r="I23" s="17"/>
      <c r="J23" s="18"/>
      <c r="Q23" s="16" t="s">
        <v>44</v>
      </c>
      <c r="R23" s="17"/>
      <c r="S23" s="42">
        <v>0.224</v>
      </c>
      <c r="T23" s="27" t="s">
        <v>45</v>
      </c>
      <c r="U23" s="23"/>
    </row>
    <row r="24" ht="15.75" customHeight="1">
      <c r="B24" s="35" t="s">
        <v>46</v>
      </c>
      <c r="C24" s="5" t="s">
        <v>47</v>
      </c>
      <c r="D24" s="23"/>
      <c r="E24" s="27"/>
      <c r="G24" s="43" t="s">
        <v>48</v>
      </c>
      <c r="H24" s="44">
        <f>H21+H22</f>
        <v>700</v>
      </c>
      <c r="I24" s="23" t="s">
        <v>36</v>
      </c>
      <c r="J24" s="27"/>
      <c r="L24" s="45" t="s">
        <v>49</v>
      </c>
      <c r="M24" s="46"/>
      <c r="N24" s="46"/>
      <c r="O24" s="47"/>
      <c r="Q24" s="16" t="s">
        <v>50</v>
      </c>
      <c r="R24" s="17"/>
      <c r="S24" s="42">
        <v>0.05</v>
      </c>
      <c r="T24" s="27" t="s">
        <v>51</v>
      </c>
    </row>
    <row r="25" ht="15.75" customHeight="1">
      <c r="B25" s="29"/>
      <c r="C25" s="17"/>
      <c r="D25" s="17"/>
      <c r="E25" s="18"/>
      <c r="G25" s="29"/>
      <c r="H25" s="17"/>
      <c r="I25" s="17"/>
      <c r="J25" s="18"/>
      <c r="L25" s="16" t="s">
        <v>52</v>
      </c>
      <c r="M25" s="48" t="s">
        <v>53</v>
      </c>
      <c r="N25" s="48"/>
      <c r="O25" s="49"/>
      <c r="Q25" s="29"/>
      <c r="R25" s="17"/>
      <c r="S25" s="17"/>
      <c r="T25" s="18"/>
      <c r="U25" s="17"/>
      <c r="V25" s="17"/>
    </row>
    <row r="26" ht="15.75" customHeight="1">
      <c r="B26" s="16" t="s">
        <v>54</v>
      </c>
      <c r="C26" s="23"/>
      <c r="D26" s="23"/>
      <c r="E26" s="27"/>
      <c r="G26" s="16" t="s">
        <v>55</v>
      </c>
      <c r="H26" s="5">
        <v>300.0</v>
      </c>
      <c r="I26" s="23" t="s">
        <v>36</v>
      </c>
      <c r="J26" s="27"/>
      <c r="L26" s="29"/>
      <c r="M26" s="48" t="s">
        <v>56</v>
      </c>
      <c r="N26" s="48"/>
      <c r="O26" s="49"/>
      <c r="Q26" s="16" t="s">
        <v>57</v>
      </c>
      <c r="R26" s="17"/>
      <c r="S26" s="17"/>
      <c r="T26" s="24">
        <v>2500.0</v>
      </c>
      <c r="U26" s="23"/>
      <c r="V26" s="17"/>
    </row>
    <row r="27" ht="15.75" customHeight="1">
      <c r="B27" s="35" t="s">
        <v>58</v>
      </c>
      <c r="C27" s="5">
        <v>0.0</v>
      </c>
      <c r="D27" s="17"/>
      <c r="E27" s="18"/>
      <c r="G27" s="43" t="s">
        <v>59</v>
      </c>
      <c r="H27" s="44">
        <f>H24+H26</f>
        <v>1000</v>
      </c>
      <c r="I27" s="23" t="s">
        <v>36</v>
      </c>
      <c r="J27" s="27"/>
      <c r="L27" s="50"/>
      <c r="M27" s="23"/>
      <c r="N27" s="23"/>
      <c r="O27" s="27"/>
      <c r="Q27" s="26" t="s">
        <v>60</v>
      </c>
      <c r="R27" s="17"/>
      <c r="S27" s="17"/>
      <c r="T27" s="18"/>
      <c r="U27" s="23"/>
      <c r="V27" s="17"/>
    </row>
    <row r="28" ht="15.75" customHeight="1">
      <c r="B28" s="51"/>
      <c r="C28" s="33"/>
      <c r="D28" s="33"/>
      <c r="E28" s="52"/>
      <c r="G28" s="50"/>
      <c r="H28" s="23"/>
      <c r="I28" s="23"/>
      <c r="J28" s="27"/>
      <c r="L28" s="53" t="s">
        <v>61</v>
      </c>
      <c r="M28" s="48" t="s">
        <v>62</v>
      </c>
      <c r="N28" s="23"/>
      <c r="O28" s="54"/>
      <c r="Q28" s="29"/>
      <c r="R28" s="17"/>
      <c r="S28" s="17"/>
      <c r="T28" s="18"/>
      <c r="U28" s="23"/>
      <c r="V28" s="17"/>
    </row>
    <row r="29" ht="15.75" customHeight="1">
      <c r="G29" s="26" t="s">
        <v>63</v>
      </c>
      <c r="H29" s="7"/>
      <c r="I29" s="7"/>
      <c r="J29" s="55"/>
      <c r="L29" s="29"/>
      <c r="M29" s="23" t="s">
        <v>64</v>
      </c>
      <c r="N29" s="17"/>
      <c r="O29" s="18"/>
      <c r="Q29" s="16" t="s">
        <v>65</v>
      </c>
      <c r="R29" s="17"/>
      <c r="S29" s="17"/>
      <c r="T29" s="18"/>
    </row>
    <row r="30" ht="15.75" customHeight="1">
      <c r="B30" s="56" t="s">
        <v>66</v>
      </c>
      <c r="C30" s="57"/>
      <c r="D30" s="57"/>
      <c r="E30" s="58"/>
      <c r="G30" s="26" t="s">
        <v>67</v>
      </c>
      <c r="H30" s="7"/>
      <c r="I30" s="7"/>
      <c r="J30" s="55"/>
      <c r="L30" s="29"/>
      <c r="M30" s="23" t="s">
        <v>68</v>
      </c>
      <c r="N30" s="23"/>
      <c r="O30" s="27"/>
      <c r="Q30" s="59" t="s">
        <v>69</v>
      </c>
      <c r="R30" s="17"/>
      <c r="S30" s="60" t="s">
        <v>70</v>
      </c>
      <c r="T30" s="24">
        <v>0.0</v>
      </c>
    </row>
    <row r="31" ht="15.75" customHeight="1">
      <c r="B31" s="19" t="s">
        <v>71</v>
      </c>
      <c r="C31" s="61"/>
      <c r="D31" s="5">
        <v>10000.0</v>
      </c>
      <c r="E31" s="22" t="s">
        <v>72</v>
      </c>
      <c r="G31" s="26" t="s">
        <v>73</v>
      </c>
      <c r="H31" s="7"/>
      <c r="I31" s="7"/>
      <c r="J31" s="55"/>
      <c r="L31" s="29"/>
      <c r="M31" s="23"/>
      <c r="N31" s="23"/>
      <c r="O31" s="30">
        <v>1350.0</v>
      </c>
      <c r="Q31" s="51"/>
      <c r="R31" s="33"/>
      <c r="S31" s="33"/>
      <c r="T31" s="62"/>
      <c r="U31" s="17"/>
    </row>
    <row r="32" ht="15.75" customHeight="1">
      <c r="B32" s="29"/>
      <c r="C32" s="17"/>
      <c r="D32" s="17"/>
      <c r="E32" s="18"/>
      <c r="G32" s="50"/>
      <c r="H32" s="23"/>
      <c r="I32" s="23"/>
      <c r="J32" s="27"/>
      <c r="L32" s="50"/>
      <c r="M32" s="17"/>
      <c r="N32" s="17"/>
      <c r="O32" s="18"/>
      <c r="Q32" s="63"/>
      <c r="R32" s="61"/>
      <c r="S32" s="61"/>
      <c r="T32" s="63"/>
      <c r="U32" s="17"/>
    </row>
    <row r="33" ht="15.75" customHeight="1">
      <c r="B33" s="16" t="s">
        <v>74</v>
      </c>
      <c r="C33" s="17"/>
      <c r="D33" s="17"/>
      <c r="E33" s="18"/>
      <c r="G33" s="16" t="s">
        <v>75</v>
      </c>
      <c r="H33" s="23"/>
      <c r="I33" s="23"/>
      <c r="J33" s="27"/>
      <c r="L33" s="50" t="s">
        <v>76</v>
      </c>
      <c r="M33" s="17"/>
      <c r="N33" s="17"/>
      <c r="O33" s="18"/>
      <c r="Q33" s="64" t="s">
        <v>77</v>
      </c>
      <c r="R33" s="39"/>
      <c r="S33" s="39"/>
      <c r="T33" s="40"/>
      <c r="U33" s="17"/>
    </row>
    <row r="34" ht="15.75" customHeight="1">
      <c r="B34" s="16" t="s">
        <v>78</v>
      </c>
      <c r="C34" s="17"/>
      <c r="D34" s="17"/>
      <c r="E34" s="18"/>
      <c r="G34" s="16" t="s">
        <v>79</v>
      </c>
      <c r="H34" s="5">
        <v>900.0</v>
      </c>
      <c r="I34" s="7" t="s">
        <v>80</v>
      </c>
      <c r="J34" s="27"/>
      <c r="L34" s="50" t="s">
        <v>81</v>
      </c>
      <c r="M34" s="17"/>
      <c r="N34" s="17"/>
      <c r="O34" s="18"/>
      <c r="U34" s="17"/>
    </row>
    <row r="35" ht="15.75" customHeight="1">
      <c r="B35" s="29"/>
      <c r="C35" s="65" t="s">
        <v>82</v>
      </c>
      <c r="D35" s="65" t="s">
        <v>83</v>
      </c>
      <c r="E35" s="18"/>
      <c r="G35" s="32"/>
      <c r="H35" s="33"/>
      <c r="I35" s="33"/>
      <c r="J35" s="34"/>
      <c r="L35" s="26" t="s">
        <v>84</v>
      </c>
      <c r="M35" s="17"/>
      <c r="N35" s="17"/>
      <c r="O35" s="18"/>
      <c r="Q35" s="45" t="s">
        <v>85</v>
      </c>
      <c r="R35" s="46"/>
      <c r="S35" s="46"/>
      <c r="T35" s="47"/>
      <c r="U35" s="17"/>
    </row>
    <row r="36" ht="15.75" customHeight="1">
      <c r="B36" s="50" t="s">
        <v>86</v>
      </c>
      <c r="C36" s="5">
        <v>5000.0</v>
      </c>
      <c r="D36" s="5">
        <v>0.0</v>
      </c>
      <c r="E36" s="18"/>
      <c r="L36" s="29"/>
      <c r="M36" s="17"/>
      <c r="N36" s="17"/>
      <c r="O36" s="18"/>
      <c r="Q36" s="50" t="s">
        <v>87</v>
      </c>
      <c r="R36" s="17"/>
      <c r="S36" s="41">
        <v>100.0</v>
      </c>
      <c r="T36" s="27" t="s">
        <v>36</v>
      </c>
      <c r="U36" s="17"/>
    </row>
    <row r="37" ht="15.75" customHeight="1">
      <c r="B37" s="50" t="s">
        <v>88</v>
      </c>
      <c r="C37" s="5">
        <v>3000.0</v>
      </c>
      <c r="D37" s="5">
        <v>0.0</v>
      </c>
      <c r="E37" s="18"/>
      <c r="L37" s="50" t="s">
        <v>89</v>
      </c>
      <c r="M37" s="17"/>
      <c r="N37" s="17"/>
      <c r="O37" s="66">
        <v>0.1</v>
      </c>
      <c r="Q37" s="50" t="s">
        <v>90</v>
      </c>
      <c r="R37" s="17"/>
      <c r="S37" s="41">
        <v>0.0</v>
      </c>
      <c r="T37" s="27" t="s">
        <v>91</v>
      </c>
    </row>
    <row r="38" ht="15.75" customHeight="1">
      <c r="B38" s="50" t="s">
        <v>92</v>
      </c>
      <c r="C38" s="5">
        <v>0.0</v>
      </c>
      <c r="D38" s="5">
        <v>300.0</v>
      </c>
      <c r="E38" s="18"/>
      <c r="L38" s="50" t="s">
        <v>93</v>
      </c>
      <c r="M38" s="23"/>
      <c r="N38" s="23"/>
      <c r="O38" s="66">
        <v>0.1</v>
      </c>
      <c r="Q38" s="50" t="s">
        <v>94</v>
      </c>
      <c r="R38" s="17"/>
      <c r="S38" s="41">
        <v>40.0</v>
      </c>
      <c r="T38" s="27" t="s">
        <v>36</v>
      </c>
      <c r="U38" s="23"/>
    </row>
    <row r="39" ht="15.75" customHeight="1">
      <c r="B39" s="50" t="s">
        <v>95</v>
      </c>
      <c r="C39" s="5">
        <v>2000.0</v>
      </c>
      <c r="D39" s="5">
        <v>0.0</v>
      </c>
      <c r="E39" s="27"/>
      <c r="L39" s="50" t="s">
        <v>96</v>
      </c>
      <c r="M39" s="23"/>
      <c r="N39" s="23"/>
      <c r="O39" s="66">
        <v>0.4</v>
      </c>
      <c r="Q39" s="50" t="s">
        <v>97</v>
      </c>
      <c r="R39" s="17"/>
      <c r="S39" s="41">
        <v>50.0</v>
      </c>
      <c r="T39" s="27" t="s">
        <v>36</v>
      </c>
    </row>
    <row r="40" ht="15.75" customHeight="1">
      <c r="B40" s="32"/>
      <c r="C40" s="33"/>
      <c r="D40" s="33"/>
      <c r="E40" s="34"/>
      <c r="L40" s="50" t="s">
        <v>98</v>
      </c>
      <c r="M40" s="17"/>
      <c r="N40" s="17"/>
      <c r="O40" s="66">
        <v>0.05</v>
      </c>
      <c r="Q40" s="50" t="s">
        <v>99</v>
      </c>
      <c r="R40" s="17"/>
      <c r="S40" s="41">
        <v>60.0</v>
      </c>
      <c r="T40" s="27" t="s">
        <v>36</v>
      </c>
    </row>
    <row r="41" ht="15.75" customHeight="1">
      <c r="B41" s="67"/>
      <c r="C41" s="61"/>
      <c r="D41" s="61"/>
      <c r="E41" s="67"/>
      <c r="L41" s="50" t="s">
        <v>100</v>
      </c>
      <c r="M41" s="23"/>
      <c r="N41" s="23"/>
      <c r="O41" s="66">
        <v>0.35</v>
      </c>
      <c r="Q41" s="50" t="s">
        <v>101</v>
      </c>
      <c r="R41" s="17"/>
      <c r="S41" s="41">
        <v>300.0</v>
      </c>
      <c r="T41" s="27" t="s">
        <v>102</v>
      </c>
    </row>
    <row r="42" ht="15.75" customHeight="1">
      <c r="B42" s="68" t="s">
        <v>103</v>
      </c>
      <c r="C42" s="69">
        <v>0.1</v>
      </c>
      <c r="L42" s="29"/>
      <c r="M42" s="17"/>
      <c r="N42" s="17"/>
      <c r="O42" s="54"/>
      <c r="Q42" s="50" t="s">
        <v>104</v>
      </c>
      <c r="R42" s="17"/>
      <c r="S42" s="41">
        <v>30.0</v>
      </c>
      <c r="T42" s="27" t="s">
        <v>36</v>
      </c>
    </row>
    <row r="43" ht="15.75" customHeight="1">
      <c r="B43" s="23" t="s">
        <v>105</v>
      </c>
      <c r="L43" s="16" t="s">
        <v>106</v>
      </c>
      <c r="M43" s="23"/>
      <c r="N43" s="23"/>
      <c r="O43" s="70">
        <f>20.5/1.07</f>
        <v>19.1588785</v>
      </c>
      <c r="Q43" s="50" t="s">
        <v>107</v>
      </c>
      <c r="R43" s="17"/>
      <c r="S43" s="41">
        <v>250.0</v>
      </c>
      <c r="T43" s="27" t="s">
        <v>108</v>
      </c>
    </row>
    <row r="44" ht="15.75" customHeight="1">
      <c r="B44" s="23" t="s">
        <v>109</v>
      </c>
      <c r="L44" s="26" t="s">
        <v>110</v>
      </c>
      <c r="M44" s="71"/>
      <c r="N44" s="17"/>
      <c r="O44" s="18"/>
      <c r="Q44" s="50" t="s">
        <v>111</v>
      </c>
      <c r="R44" s="17"/>
      <c r="S44" s="41">
        <v>250.0</v>
      </c>
      <c r="T44" s="27" t="s">
        <v>36</v>
      </c>
    </row>
    <row r="45" ht="15.75" customHeight="1">
      <c r="L45" s="26"/>
      <c r="M45" s="71"/>
      <c r="N45" s="17"/>
      <c r="O45" s="18"/>
      <c r="Q45" s="50" t="s">
        <v>112</v>
      </c>
      <c r="R45" s="17"/>
      <c r="S45" s="41">
        <v>250.0</v>
      </c>
      <c r="T45" s="27" t="s">
        <v>36</v>
      </c>
    </row>
    <row r="46" ht="15.75" customHeight="1">
      <c r="L46" s="16" t="s">
        <v>113</v>
      </c>
      <c r="M46" s="23"/>
      <c r="N46" s="23"/>
      <c r="O46" s="18"/>
      <c r="Q46" s="50" t="s">
        <v>114</v>
      </c>
      <c r="R46" s="17"/>
      <c r="S46" s="42">
        <v>0.15</v>
      </c>
      <c r="T46" s="27" t="s">
        <v>115</v>
      </c>
    </row>
    <row r="47" ht="15.75" customHeight="1">
      <c r="L47" s="50" t="s">
        <v>116</v>
      </c>
      <c r="M47" s="69">
        <v>0.5</v>
      </c>
      <c r="N47" s="23" t="s">
        <v>117</v>
      </c>
      <c r="O47" s="27"/>
      <c r="Q47" s="50" t="s">
        <v>118</v>
      </c>
      <c r="R47" s="17"/>
      <c r="S47" s="42">
        <v>0.1</v>
      </c>
      <c r="T47" s="27" t="s">
        <v>115</v>
      </c>
    </row>
    <row r="48" ht="15.75" customHeight="1">
      <c r="B48" s="23" t="s">
        <v>119</v>
      </c>
      <c r="L48" s="50" t="s">
        <v>120</v>
      </c>
      <c r="M48" s="69">
        <v>0.75</v>
      </c>
      <c r="N48" s="23" t="s">
        <v>117</v>
      </c>
      <c r="O48" s="27"/>
      <c r="Q48" s="50" t="s">
        <v>121</v>
      </c>
      <c r="R48" s="17"/>
      <c r="S48" s="41">
        <v>100.0</v>
      </c>
      <c r="T48" s="27" t="s">
        <v>36</v>
      </c>
    </row>
    <row r="49" ht="15.75" customHeight="1">
      <c r="L49" s="50" t="s">
        <v>122</v>
      </c>
      <c r="M49" s="69">
        <v>1.0</v>
      </c>
      <c r="N49" s="23" t="s">
        <v>117</v>
      </c>
      <c r="O49" s="18"/>
      <c r="Q49" s="50" t="s">
        <v>123</v>
      </c>
      <c r="R49" s="17"/>
      <c r="S49" s="41">
        <v>150.0</v>
      </c>
      <c r="T49" s="27" t="s">
        <v>36</v>
      </c>
    </row>
    <row r="50" ht="15.75" customHeight="1">
      <c r="L50" s="29"/>
      <c r="M50" s="17"/>
      <c r="N50" s="72"/>
      <c r="O50" s="18"/>
      <c r="Q50" s="50" t="s">
        <v>124</v>
      </c>
      <c r="R50" s="17"/>
      <c r="S50" s="41">
        <v>0.65</v>
      </c>
      <c r="T50" s="27" t="s">
        <v>125</v>
      </c>
    </row>
    <row r="51" ht="15.75" customHeight="1">
      <c r="L51" s="29"/>
      <c r="M51" s="17"/>
      <c r="N51" s="17"/>
      <c r="O51" s="18"/>
      <c r="Q51" s="50" t="s">
        <v>126</v>
      </c>
      <c r="R51" s="17"/>
      <c r="S51" s="42">
        <v>0.5</v>
      </c>
      <c r="T51" s="27" t="s">
        <v>127</v>
      </c>
    </row>
    <row r="52" ht="15.75" customHeight="1">
      <c r="L52" s="50" t="s">
        <v>128</v>
      </c>
      <c r="M52" s="69">
        <v>0.9</v>
      </c>
      <c r="N52" s="23" t="s">
        <v>129</v>
      </c>
      <c r="O52" s="18"/>
      <c r="Q52" s="50"/>
      <c r="R52" s="17"/>
      <c r="S52" s="17"/>
      <c r="T52" s="18"/>
    </row>
    <row r="53" ht="15.75" customHeight="1">
      <c r="L53" s="51" t="s">
        <v>130</v>
      </c>
      <c r="M53" s="73">
        <v>0.1</v>
      </c>
      <c r="N53" s="74" t="s">
        <v>131</v>
      </c>
      <c r="O53" s="34"/>
      <c r="Q53" s="50" t="s">
        <v>132</v>
      </c>
      <c r="R53" s="17"/>
      <c r="S53" s="42">
        <v>0.25</v>
      </c>
      <c r="T53" s="27" t="s">
        <v>133</v>
      </c>
    </row>
    <row r="54" ht="15.75" customHeight="1">
      <c r="Q54" s="50" t="s">
        <v>134</v>
      </c>
      <c r="R54" s="17"/>
      <c r="S54" s="42">
        <v>0.04</v>
      </c>
      <c r="T54" s="27" t="s">
        <v>135</v>
      </c>
    </row>
    <row r="55" ht="15.75" customHeight="1">
      <c r="L55" s="38" t="s">
        <v>136</v>
      </c>
      <c r="M55" s="39"/>
      <c r="N55" s="39"/>
      <c r="O55" s="40"/>
      <c r="Q55" s="50" t="s">
        <v>137</v>
      </c>
      <c r="R55" s="17"/>
      <c r="S55" s="42">
        <v>0.03</v>
      </c>
      <c r="T55" s="27" t="s">
        <v>138</v>
      </c>
    </row>
    <row r="56" ht="15.75" customHeight="1">
      <c r="Q56" s="51" t="s">
        <v>139</v>
      </c>
      <c r="R56" s="33"/>
      <c r="S56" s="75">
        <v>0.05</v>
      </c>
      <c r="T56" s="52" t="s">
        <v>133</v>
      </c>
    </row>
    <row r="57" ht="15.75" customHeight="1">
      <c r="L57" s="45" t="s">
        <v>49</v>
      </c>
      <c r="M57" s="46"/>
      <c r="N57" s="46"/>
      <c r="O57" s="47"/>
    </row>
    <row r="58" ht="15.75" customHeight="1">
      <c r="L58" s="50" t="s">
        <v>140</v>
      </c>
      <c r="M58" s="17"/>
      <c r="N58" s="17"/>
      <c r="O58" s="76">
        <f>O19</f>
        <v>25</v>
      </c>
    </row>
    <row r="59" ht="15.75" customHeight="1">
      <c r="L59" s="29"/>
      <c r="M59" s="17"/>
      <c r="N59" s="17"/>
      <c r="O59" s="18"/>
    </row>
    <row r="60" ht="15.75" customHeight="1">
      <c r="L60" s="50" t="s">
        <v>141</v>
      </c>
      <c r="M60" s="17"/>
      <c r="N60" s="17"/>
      <c r="O60" s="18"/>
    </row>
    <row r="61" ht="15.75" customHeight="1">
      <c r="L61" s="50" t="s">
        <v>142</v>
      </c>
      <c r="M61" s="23" t="s">
        <v>143</v>
      </c>
      <c r="N61" s="17"/>
      <c r="O61" s="76">
        <f>IF(O58/S21&lt;1,0,INT(O58/S21))</f>
        <v>1</v>
      </c>
    </row>
    <row r="62" ht="15.75" customHeight="1">
      <c r="L62" s="50" t="s">
        <v>144</v>
      </c>
      <c r="M62" s="17"/>
      <c r="N62" s="17"/>
      <c r="O62" s="18"/>
    </row>
    <row r="63" ht="15.75" customHeight="1">
      <c r="L63" s="29"/>
      <c r="M63" s="17"/>
      <c r="N63" s="17"/>
      <c r="O63" s="18"/>
    </row>
    <row r="64" ht="15.75" customHeight="1">
      <c r="L64" s="50" t="s">
        <v>145</v>
      </c>
      <c r="M64" s="17"/>
      <c r="N64" s="23" t="s">
        <v>146</v>
      </c>
      <c r="O64" s="66">
        <v>1.2</v>
      </c>
    </row>
    <row r="65" ht="15.75" customHeight="1">
      <c r="L65" s="50" t="s">
        <v>147</v>
      </c>
      <c r="M65" s="17"/>
      <c r="N65" s="17"/>
      <c r="O65" s="18"/>
    </row>
    <row r="66" ht="15.75" customHeight="1">
      <c r="L66" s="50" t="s">
        <v>148</v>
      </c>
      <c r="M66" s="17"/>
      <c r="N66" s="17"/>
      <c r="O66" s="18"/>
    </row>
    <row r="67" ht="15.75" customHeight="1">
      <c r="L67" s="29"/>
      <c r="M67" s="17"/>
      <c r="N67" s="17"/>
      <c r="O67" s="18"/>
    </row>
    <row r="68" ht="15.75" customHeight="1">
      <c r="L68" s="50" t="s">
        <v>149</v>
      </c>
      <c r="M68" s="23"/>
      <c r="N68" s="23"/>
      <c r="O68" s="70">
        <f>21/1.19</f>
        <v>17.64705882</v>
      </c>
    </row>
    <row r="69" ht="15.75" customHeight="1">
      <c r="L69" s="26" t="s">
        <v>150</v>
      </c>
      <c r="M69" s="71"/>
      <c r="N69" s="71"/>
      <c r="O69" s="77"/>
    </row>
    <row r="70" ht="15.75" customHeight="1">
      <c r="L70" s="26" t="s">
        <v>151</v>
      </c>
      <c r="M70" s="71"/>
      <c r="N70" s="71"/>
      <c r="O70" s="77"/>
    </row>
    <row r="71" ht="15.75" customHeight="1">
      <c r="L71" s="78" t="s">
        <v>152</v>
      </c>
      <c r="M71" s="17"/>
      <c r="N71" s="17"/>
      <c r="O71" s="18"/>
    </row>
    <row r="72" ht="15.75" customHeight="1">
      <c r="L72" s="29"/>
      <c r="M72" s="17"/>
      <c r="N72" s="17"/>
      <c r="O72" s="18"/>
    </row>
    <row r="73" ht="15.75" customHeight="1">
      <c r="L73" s="50" t="s">
        <v>153</v>
      </c>
      <c r="M73" s="17"/>
      <c r="N73" s="17"/>
      <c r="O73" s="76">
        <v>26.0</v>
      </c>
    </row>
    <row r="74" ht="15.75" customHeight="1">
      <c r="L74" s="51" t="s">
        <v>154</v>
      </c>
      <c r="M74" s="33"/>
      <c r="N74" s="33"/>
      <c r="O74" s="79">
        <v>8.0</v>
      </c>
    </row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B14:E14"/>
    <mergeCell ref="G14:J14"/>
    <mergeCell ref="L14:O14"/>
    <mergeCell ref="Q14:T14"/>
    <mergeCell ref="B16:E16"/>
    <mergeCell ref="G16:J16"/>
    <mergeCell ref="L16:O16"/>
    <mergeCell ref="Q16:T16"/>
  </mergeCells>
  <dataValidations>
    <dataValidation type="list" allowBlank="1" showErrorMessage="1" sqref="H17:H18">
      <formula1>Hilfstabelle!$A$10:$A$121</formula1>
    </dataValidation>
    <dataValidation type="list" allowBlank="1" showErrorMessage="1" sqref="C24">
      <formula1>Hilfstabelle!$A$4:$A$7</formula1>
    </dataValidation>
    <dataValidation type="list" allowBlank="1" showErrorMessage="1" sqref="O17">
      <formula1>Hilfstabelle!$B$1:$B$2</formula1>
    </dataValidation>
  </dataValidations>
  <printOptions/>
  <pageMargins bottom="0.787401575" footer="0.0" header="0.0" left="0.7" right="0.7" top="0.787401575"/>
  <pageSetup paperSize="9" orientation="portrait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.33"/>
    <col customWidth="1" min="2" max="2" width="4.22"/>
    <col customWidth="1" min="3" max="3" width="8.33"/>
    <col customWidth="1" min="4" max="4" width="15.89"/>
    <col customWidth="1" min="5" max="27" width="8.33"/>
  </cols>
  <sheetData>
    <row r="1" ht="15.75" customHeight="1">
      <c r="B1" s="80" t="s">
        <v>155</v>
      </c>
    </row>
    <row r="2" ht="15.75" customHeight="1">
      <c r="C2" s="81" t="s">
        <v>156</v>
      </c>
    </row>
    <row r="3" ht="15.75" customHeight="1">
      <c r="C3" s="81" t="s">
        <v>157</v>
      </c>
    </row>
    <row r="4" ht="15.75" customHeight="1">
      <c r="C4" s="81" t="s">
        <v>158</v>
      </c>
    </row>
    <row r="5" ht="15.75" customHeight="1"/>
    <row r="6" ht="15.75" customHeight="1"/>
    <row r="7" ht="15.75" customHeight="1">
      <c r="B7" s="80" t="s">
        <v>159</v>
      </c>
    </row>
    <row r="8" ht="15.75" customHeight="1"/>
    <row r="9" ht="15.75" customHeight="1">
      <c r="E9" s="82">
        <f>Annahmen!H18</f>
        <v>44166</v>
      </c>
      <c r="F9" s="82">
        <f t="shared" ref="F9:W9" si="1">EOMONTH(E9,0)+1</f>
        <v>44197</v>
      </c>
      <c r="G9" s="82">
        <f t="shared" si="1"/>
        <v>44228</v>
      </c>
      <c r="H9" s="82">
        <f t="shared" si="1"/>
        <v>44256</v>
      </c>
      <c r="I9" s="82">
        <f t="shared" si="1"/>
        <v>44287</v>
      </c>
      <c r="J9" s="82">
        <f t="shared" si="1"/>
        <v>44317</v>
      </c>
      <c r="K9" s="82">
        <f t="shared" si="1"/>
        <v>44348</v>
      </c>
      <c r="L9" s="82">
        <f t="shared" si="1"/>
        <v>44378</v>
      </c>
      <c r="M9" s="82">
        <f t="shared" si="1"/>
        <v>44409</v>
      </c>
      <c r="N9" s="82">
        <f t="shared" si="1"/>
        <v>44440</v>
      </c>
      <c r="O9" s="82">
        <f t="shared" si="1"/>
        <v>44470</v>
      </c>
      <c r="P9" s="82">
        <f t="shared" si="1"/>
        <v>44501</v>
      </c>
      <c r="Q9" s="82">
        <f t="shared" si="1"/>
        <v>44531</v>
      </c>
      <c r="R9" s="82">
        <f t="shared" si="1"/>
        <v>44562</v>
      </c>
      <c r="S9" s="82">
        <f t="shared" si="1"/>
        <v>44593</v>
      </c>
      <c r="T9" s="82">
        <f t="shared" si="1"/>
        <v>44621</v>
      </c>
      <c r="U9" s="82">
        <f t="shared" si="1"/>
        <v>44652</v>
      </c>
      <c r="V9" s="82">
        <f t="shared" si="1"/>
        <v>44682</v>
      </c>
      <c r="W9" s="82">
        <f t="shared" si="1"/>
        <v>44713</v>
      </c>
      <c r="X9" s="83"/>
    </row>
    <row r="10" ht="15.75" customHeight="1">
      <c r="B10" s="84" t="s">
        <v>160</v>
      </c>
    </row>
    <row r="11" ht="15.75" customHeight="1"/>
    <row r="12" ht="15.75" customHeight="1">
      <c r="C12" s="8" t="s">
        <v>161</v>
      </c>
      <c r="E12" s="85">
        <f>Annahmen!$O$31*Annahmen!$O$37*Annahmen!$O$43*Annahmen!M47</f>
        <v>1293.224299</v>
      </c>
      <c r="F12" s="85">
        <f>Annahmen!$O$31*Annahmen!$O$37*Annahmen!$O$43*Annahmen!M48</f>
        <v>1939.836449</v>
      </c>
      <c r="G12" s="85">
        <f>Annahmen!$O$31*Annahmen!$O$37*Annahmen!$O$43*Annahmen!M49</f>
        <v>2586.448598</v>
      </c>
      <c r="H12" s="85">
        <f>Annahmen!$O$31*Annahmen!$O$37*Annahmen!$O$43</f>
        <v>2586.448598</v>
      </c>
      <c r="I12" s="85">
        <f>Annahmen!$O$31*Annahmen!$O$37*Annahmen!$O$43</f>
        <v>2586.448598</v>
      </c>
      <c r="J12" s="85">
        <f>Annahmen!$O$31*Annahmen!$O$37*Annahmen!$O$43</f>
        <v>2586.448598</v>
      </c>
      <c r="K12" s="85">
        <f>Annahmen!$O$31*Annahmen!$O$37*Annahmen!$O$43</f>
        <v>2586.448598</v>
      </c>
      <c r="L12" s="85">
        <f>Annahmen!$O$31*Annahmen!$O$37*Annahmen!$O$43</f>
        <v>2586.448598</v>
      </c>
      <c r="M12" s="85">
        <f>Annahmen!$O$31*Annahmen!$O$37*Annahmen!$O$43</f>
        <v>2586.448598</v>
      </c>
      <c r="N12" s="85">
        <f>Annahmen!$O$31*Annahmen!$O$37*Annahmen!$O$43</f>
        <v>2586.448598</v>
      </c>
      <c r="O12" s="85">
        <f>Annahmen!$O$31*Annahmen!$O$37*Annahmen!$O$43</f>
        <v>2586.448598</v>
      </c>
      <c r="P12" s="85">
        <f>Annahmen!$O$31*Annahmen!$O$37*Annahmen!$O$43</f>
        <v>2586.448598</v>
      </c>
      <c r="Q12" s="85">
        <f>Annahmen!$O$31*Annahmen!$O$37*Annahmen!$O$43</f>
        <v>2586.448598</v>
      </c>
      <c r="R12" s="85">
        <f>Annahmen!$O$31*Annahmen!$O$37*Annahmen!$O$43</f>
        <v>2586.448598</v>
      </c>
      <c r="S12" s="85">
        <f>Annahmen!$O$31*Annahmen!$O$37*Annahmen!$O$43</f>
        <v>2586.448598</v>
      </c>
      <c r="T12" s="85">
        <f>Annahmen!$O$31*Annahmen!$O$37*Annahmen!$O$43</f>
        <v>2586.448598</v>
      </c>
      <c r="U12" s="85">
        <f>Annahmen!$O$31*Annahmen!$O$37*Annahmen!$O$43</f>
        <v>2586.448598</v>
      </c>
      <c r="V12" s="85">
        <f>Annahmen!$O$31*Annahmen!$O$37*Annahmen!$O$43</f>
        <v>2586.448598</v>
      </c>
      <c r="W12" s="85">
        <f>Annahmen!$O$31*Annahmen!$O$37*Annahmen!$O$43</f>
        <v>2586.448598</v>
      </c>
    </row>
    <row r="13" ht="15.75" customHeight="1">
      <c r="C13" s="8" t="s">
        <v>162</v>
      </c>
      <c r="E13" s="85">
        <f>Annahmen!$O$31*Annahmen!$O$38*Annahmen!$O$43*Annahmen!M47</f>
        <v>1293.224299</v>
      </c>
      <c r="F13" s="85">
        <f>Annahmen!$O$31*Annahmen!$O$38*Annahmen!$O$43*Annahmen!M48</f>
        <v>1939.836449</v>
      </c>
      <c r="G13" s="85">
        <f>Annahmen!$O$31*Annahmen!$O$38*Annahmen!$O$43*Annahmen!M49</f>
        <v>2586.448598</v>
      </c>
      <c r="H13" s="85">
        <f>Annahmen!$O$31*Annahmen!$O$38*Annahmen!$O$43</f>
        <v>2586.448598</v>
      </c>
      <c r="I13" s="85">
        <f>Annahmen!$O$31*Annahmen!$O$38*Annahmen!$O$43</f>
        <v>2586.448598</v>
      </c>
      <c r="J13" s="85">
        <f>Annahmen!$O$31*Annahmen!$O$38*Annahmen!$O$43</f>
        <v>2586.448598</v>
      </c>
      <c r="K13" s="85">
        <f>Annahmen!$O$31*Annahmen!$O$38*Annahmen!$O$43</f>
        <v>2586.448598</v>
      </c>
      <c r="L13" s="85">
        <f>Annahmen!$O$31*Annahmen!$O$38*Annahmen!$O$43</f>
        <v>2586.448598</v>
      </c>
      <c r="M13" s="85">
        <f>Annahmen!$O$31*Annahmen!$O$38*Annahmen!$O$43</f>
        <v>2586.448598</v>
      </c>
      <c r="N13" s="85">
        <f>Annahmen!$O$31*Annahmen!$O$38*Annahmen!$O$43</f>
        <v>2586.448598</v>
      </c>
      <c r="O13" s="85">
        <f>Annahmen!$O$31*Annahmen!$O$38*Annahmen!$O$43</f>
        <v>2586.448598</v>
      </c>
      <c r="P13" s="85">
        <f>Annahmen!$O$31*Annahmen!$O$38*Annahmen!$O$43</f>
        <v>2586.448598</v>
      </c>
      <c r="Q13" s="85">
        <f>Annahmen!$O$31*Annahmen!$O$38*Annahmen!$O$43</f>
        <v>2586.448598</v>
      </c>
      <c r="R13" s="85">
        <f>Annahmen!$O$31*Annahmen!$O$38*Annahmen!$O$43</f>
        <v>2586.448598</v>
      </c>
      <c r="S13" s="85">
        <f>Annahmen!$O$31*Annahmen!$O$38*Annahmen!$O$43</f>
        <v>2586.448598</v>
      </c>
      <c r="T13" s="85">
        <f>Annahmen!$O$31*Annahmen!$O$38*Annahmen!$O$43</f>
        <v>2586.448598</v>
      </c>
      <c r="U13" s="85">
        <f>Annahmen!$O$31*Annahmen!$O$38*Annahmen!$O$43</f>
        <v>2586.448598</v>
      </c>
      <c r="V13" s="85">
        <f>Annahmen!$O$31*Annahmen!$O$38*Annahmen!$O$43</f>
        <v>2586.448598</v>
      </c>
      <c r="W13" s="85">
        <f>Annahmen!$O$31*Annahmen!$O$38*Annahmen!$O$43</f>
        <v>2586.448598</v>
      </c>
    </row>
    <row r="14" ht="15.75" customHeight="1">
      <c r="C14" s="8" t="s">
        <v>163</v>
      </c>
      <c r="E14" s="85">
        <f>Annahmen!$O$31*Annahmen!$O$39*Annahmen!$O$43*Annahmen!M47</f>
        <v>5172.897196</v>
      </c>
      <c r="F14" s="85">
        <f>Annahmen!$O$31*Annahmen!$O$39*Annahmen!$O$43*Annahmen!M48</f>
        <v>7759.345794</v>
      </c>
      <c r="G14" s="85">
        <f>Annahmen!$O$31*Annahmen!$O$39*Annahmen!$O$43*Annahmen!M49</f>
        <v>10345.79439</v>
      </c>
      <c r="H14" s="85">
        <f>Annahmen!$O$31*Annahmen!$O$39*Annahmen!$O$43</f>
        <v>10345.79439</v>
      </c>
      <c r="I14" s="85">
        <f>Annahmen!$O$31*Annahmen!$O$39*Annahmen!$O$43</f>
        <v>10345.79439</v>
      </c>
      <c r="J14" s="85">
        <f>Annahmen!$O$31*Annahmen!$O$39*Annahmen!$O$43</f>
        <v>10345.79439</v>
      </c>
      <c r="K14" s="85">
        <f>Annahmen!$O$31*Annahmen!$O$39*Annahmen!$O$43</f>
        <v>10345.79439</v>
      </c>
      <c r="L14" s="85">
        <f>Annahmen!$O$31*Annahmen!$O$39*Annahmen!$O$43</f>
        <v>10345.79439</v>
      </c>
      <c r="M14" s="85">
        <f>Annahmen!$O$31*Annahmen!$O$39*Annahmen!$O$43</f>
        <v>10345.79439</v>
      </c>
      <c r="N14" s="85">
        <f>Annahmen!$O$31*Annahmen!$O$39*Annahmen!$O$43</f>
        <v>10345.79439</v>
      </c>
      <c r="O14" s="85">
        <f>Annahmen!$O$31*Annahmen!$O$39*Annahmen!$O$43</f>
        <v>10345.79439</v>
      </c>
      <c r="P14" s="85">
        <f>Annahmen!$O$31*Annahmen!$O$39*Annahmen!$O$43</f>
        <v>10345.79439</v>
      </c>
      <c r="Q14" s="85">
        <f>Annahmen!$O$31*Annahmen!$O$39*Annahmen!$O$43</f>
        <v>10345.79439</v>
      </c>
      <c r="R14" s="85">
        <f>Annahmen!$O$31*Annahmen!$O$39*Annahmen!$O$43</f>
        <v>10345.79439</v>
      </c>
      <c r="S14" s="85">
        <f>Annahmen!$O$31*Annahmen!$O$39*Annahmen!$O$43</f>
        <v>10345.79439</v>
      </c>
      <c r="T14" s="85">
        <f>Annahmen!$O$31*Annahmen!$O$39*Annahmen!$O$43</f>
        <v>10345.79439</v>
      </c>
      <c r="U14" s="85">
        <f>Annahmen!$O$31*Annahmen!$O$39*Annahmen!$O$43</f>
        <v>10345.79439</v>
      </c>
      <c r="V14" s="85">
        <f>Annahmen!$O$31*Annahmen!$O$39*Annahmen!$O$43</f>
        <v>10345.79439</v>
      </c>
      <c r="W14" s="85">
        <f>Annahmen!$O$31*Annahmen!$O$39*Annahmen!$O$43</f>
        <v>10345.79439</v>
      </c>
    </row>
    <row r="15" ht="15.75" customHeight="1">
      <c r="C15" s="8" t="s">
        <v>164</v>
      </c>
      <c r="E15" s="85">
        <f>Annahmen!$O$31*Annahmen!$O$40*Annahmen!$O$43*Annahmen!M47</f>
        <v>646.6121495</v>
      </c>
      <c r="F15" s="85">
        <f>Annahmen!$O$31*Annahmen!$O$40*Annahmen!$O$43*Annahmen!M48</f>
        <v>969.9182243</v>
      </c>
      <c r="G15" s="85">
        <f>Annahmen!$O$31*Annahmen!$O$40*Annahmen!$O$43*Annahmen!M49</f>
        <v>1293.224299</v>
      </c>
      <c r="H15" s="85">
        <f>Annahmen!$O$31*Annahmen!$O$40*Annahmen!$O$43</f>
        <v>1293.224299</v>
      </c>
      <c r="I15" s="85">
        <f>Annahmen!$O$31*Annahmen!$O$40*Annahmen!$O$43</f>
        <v>1293.224299</v>
      </c>
      <c r="J15" s="85">
        <f>Annahmen!$O$31*Annahmen!$O$40*Annahmen!$O$43</f>
        <v>1293.224299</v>
      </c>
      <c r="K15" s="85">
        <f>Annahmen!$O$31*Annahmen!$O$40*Annahmen!$O$43</f>
        <v>1293.224299</v>
      </c>
      <c r="L15" s="85">
        <f>Annahmen!$O$31*Annahmen!$O$40*Annahmen!$O$43</f>
        <v>1293.224299</v>
      </c>
      <c r="M15" s="85">
        <f>Annahmen!$O$31*Annahmen!$O$40*Annahmen!$O$43</f>
        <v>1293.224299</v>
      </c>
      <c r="N15" s="85">
        <f>Annahmen!$O$31*Annahmen!$O$40*Annahmen!$O$43</f>
        <v>1293.224299</v>
      </c>
      <c r="O15" s="85">
        <f>Annahmen!$O$31*Annahmen!$O$40*Annahmen!$O$43</f>
        <v>1293.224299</v>
      </c>
      <c r="P15" s="85">
        <f>Annahmen!$O$31*Annahmen!$O$40*Annahmen!$O$43</f>
        <v>1293.224299</v>
      </c>
      <c r="Q15" s="85">
        <f>Annahmen!$O$31*Annahmen!$O$40*Annahmen!$O$43</f>
        <v>1293.224299</v>
      </c>
      <c r="R15" s="85">
        <f>Annahmen!$O$31*Annahmen!$O$40*Annahmen!$O$43</f>
        <v>1293.224299</v>
      </c>
      <c r="S15" s="85">
        <f>Annahmen!$O$31*Annahmen!$O$40*Annahmen!$O$43</f>
        <v>1293.224299</v>
      </c>
      <c r="T15" s="85">
        <f>Annahmen!$O$31*Annahmen!$O$40*Annahmen!$O$43</f>
        <v>1293.224299</v>
      </c>
      <c r="U15" s="85">
        <f>Annahmen!$O$31*Annahmen!$O$40*Annahmen!$O$43</f>
        <v>1293.224299</v>
      </c>
      <c r="V15" s="85">
        <f>Annahmen!$O$31*Annahmen!$O$40*Annahmen!$O$43</f>
        <v>1293.224299</v>
      </c>
      <c r="W15" s="85">
        <f>Annahmen!$O$31*Annahmen!$O$40*Annahmen!$O$43</f>
        <v>1293.224299</v>
      </c>
    </row>
    <row r="16" ht="15.75" customHeight="1">
      <c r="C16" s="8" t="s">
        <v>165</v>
      </c>
      <c r="E16" s="85">
        <f>Annahmen!$O$31*Annahmen!$O$41*Annahmen!$O$43*Annahmen!M47</f>
        <v>4526.285047</v>
      </c>
      <c r="F16" s="85">
        <f>Annahmen!$O$31*Annahmen!$O$41*Annahmen!$O$43*Annahmen!M48</f>
        <v>6789.42757</v>
      </c>
      <c r="G16" s="85">
        <f>Annahmen!$O$31*Annahmen!$O$41*Annahmen!$O$43*Annahmen!M49</f>
        <v>9052.570093</v>
      </c>
      <c r="H16" s="85">
        <f>Annahmen!$O$31*Annahmen!$O$41*Annahmen!$O$43</f>
        <v>9052.570093</v>
      </c>
      <c r="I16" s="85">
        <f>Annahmen!$O$31*Annahmen!$O$41*Annahmen!$O$43</f>
        <v>9052.570093</v>
      </c>
      <c r="J16" s="85">
        <f>Annahmen!$O$31*Annahmen!$O$41*Annahmen!$O$43</f>
        <v>9052.570093</v>
      </c>
      <c r="K16" s="85">
        <f>Annahmen!$O$31*Annahmen!$O$41*Annahmen!$O$43</f>
        <v>9052.570093</v>
      </c>
      <c r="L16" s="85">
        <f>Annahmen!$O$31*Annahmen!$O$41*Annahmen!$O$43</f>
        <v>9052.570093</v>
      </c>
      <c r="M16" s="85">
        <f>Annahmen!$O$31*Annahmen!$O$41*Annahmen!$O$43</f>
        <v>9052.570093</v>
      </c>
      <c r="N16" s="85">
        <f>Annahmen!$O$31*Annahmen!$O$41*Annahmen!$O$43</f>
        <v>9052.570093</v>
      </c>
      <c r="O16" s="85">
        <f>Annahmen!$O$31*Annahmen!$O$41*Annahmen!$O$43</f>
        <v>9052.570093</v>
      </c>
      <c r="P16" s="85">
        <f>Annahmen!$O$31*Annahmen!$O$41*Annahmen!$O$43</f>
        <v>9052.570093</v>
      </c>
      <c r="Q16" s="85">
        <f>Annahmen!$O$31*Annahmen!$O$41*Annahmen!$O$43</f>
        <v>9052.570093</v>
      </c>
      <c r="R16" s="85">
        <f>Annahmen!$O$31*Annahmen!$O$41*Annahmen!$O$43</f>
        <v>9052.570093</v>
      </c>
      <c r="S16" s="85">
        <f>Annahmen!$O$31*Annahmen!$O$41*Annahmen!$O$43</f>
        <v>9052.570093</v>
      </c>
      <c r="T16" s="85">
        <f>Annahmen!$O$31*Annahmen!$O$41*Annahmen!$O$43</f>
        <v>9052.570093</v>
      </c>
      <c r="U16" s="85">
        <f>Annahmen!$O$31*Annahmen!$O$41*Annahmen!$O$43</f>
        <v>9052.570093</v>
      </c>
      <c r="V16" s="85">
        <f>Annahmen!$O$31*Annahmen!$O$41*Annahmen!$O$43</f>
        <v>9052.570093</v>
      </c>
      <c r="W16" s="85">
        <f>Annahmen!$O$31*Annahmen!$O$41*Annahmen!$O$43</f>
        <v>9052.570093</v>
      </c>
    </row>
    <row r="17" ht="15.75" customHeight="1"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</row>
    <row r="18" ht="15.75" customHeight="1">
      <c r="C18" s="71" t="s">
        <v>166</v>
      </c>
      <c r="D18" s="71"/>
      <c r="E18" s="86">
        <f t="shared" ref="E18:W18" si="2">SUM(E12:E16)</f>
        <v>12932.24299</v>
      </c>
      <c r="F18" s="86">
        <f t="shared" si="2"/>
        <v>19398.36449</v>
      </c>
      <c r="G18" s="86">
        <f t="shared" si="2"/>
        <v>25864.48598</v>
      </c>
      <c r="H18" s="86">
        <f t="shared" si="2"/>
        <v>25864.48598</v>
      </c>
      <c r="I18" s="86">
        <f t="shared" si="2"/>
        <v>25864.48598</v>
      </c>
      <c r="J18" s="86">
        <f t="shared" si="2"/>
        <v>25864.48598</v>
      </c>
      <c r="K18" s="86">
        <f t="shared" si="2"/>
        <v>25864.48598</v>
      </c>
      <c r="L18" s="86">
        <f t="shared" si="2"/>
        <v>25864.48598</v>
      </c>
      <c r="M18" s="86">
        <f t="shared" si="2"/>
        <v>25864.48598</v>
      </c>
      <c r="N18" s="86">
        <f t="shared" si="2"/>
        <v>25864.48598</v>
      </c>
      <c r="O18" s="86">
        <f t="shared" si="2"/>
        <v>25864.48598</v>
      </c>
      <c r="P18" s="86">
        <f t="shared" si="2"/>
        <v>25864.48598</v>
      </c>
      <c r="Q18" s="86">
        <f t="shared" si="2"/>
        <v>25864.48598</v>
      </c>
      <c r="R18" s="86">
        <f t="shared" si="2"/>
        <v>25864.48598</v>
      </c>
      <c r="S18" s="86">
        <f t="shared" si="2"/>
        <v>25864.48598</v>
      </c>
      <c r="T18" s="86">
        <f t="shared" si="2"/>
        <v>25864.48598</v>
      </c>
      <c r="U18" s="86">
        <f t="shared" si="2"/>
        <v>25864.48598</v>
      </c>
      <c r="V18" s="86">
        <f t="shared" si="2"/>
        <v>25864.48598</v>
      </c>
      <c r="W18" s="86">
        <f t="shared" si="2"/>
        <v>25864.48598</v>
      </c>
    </row>
    <row r="19" ht="15.75" customHeight="1"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</row>
    <row r="20" ht="15.75" customHeight="1">
      <c r="B20" s="84" t="str">
        <f>IF(Annahmen!O17="ja","","Einnahmen Restaurant")</f>
        <v>Einnahmen Restaurant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</row>
    <row r="21" ht="15.75" customHeight="1"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</row>
    <row r="22" ht="15.75" customHeight="1">
      <c r="C22" s="8" t="str">
        <f>IF(Annahmen!O17="nein","bei "&amp;Annahmen!O58 &amp;" Sitzplätzen","")</f>
        <v>bei 25 Sitzplätzen</v>
      </c>
      <c r="E22" s="85">
        <f>IF(Annahmen!$O$17="nein",Annahmen!$O$58*Annahmen!$O$64*Annahmen!$O$68*Annahmen!$M$47*Annahmen!$O$73,"")</f>
        <v>6882.352941</v>
      </c>
      <c r="F22" s="85">
        <f>IF(Annahmen!$O$17="nein",Annahmen!$O$58*Annahmen!$O$64*Annahmen!$O$68*Annahmen!$M$47*Annahmen!$O$73,"")</f>
        <v>6882.352941</v>
      </c>
      <c r="G22" s="85">
        <f>IF(Annahmen!$O$17="nein",Annahmen!$O$58*Annahmen!$O$64*Annahmen!$O$68*Annahmen!$M$47*Annahmen!$O$73,"")</f>
        <v>6882.352941</v>
      </c>
      <c r="H22" s="85">
        <f>IF(Annahmen!$O$17="nein",Annahmen!$O$58*Annahmen!$O$64*Annahmen!$O$68*Annahmen!$M$47*Annahmen!$O$73,"")</f>
        <v>6882.352941</v>
      </c>
      <c r="I22" s="85">
        <f>IF(Annahmen!$O$17="nein",Annahmen!$O$58*Annahmen!$O$64*Annahmen!$O$68*Annahmen!$M$47*Annahmen!$O$73,"")</f>
        <v>6882.352941</v>
      </c>
      <c r="J22" s="85">
        <f>IF(Annahmen!$O$17="nein",Annahmen!$O$58*Annahmen!$O$64*Annahmen!$O$68*Annahmen!$M$47*Annahmen!$O$73,"")</f>
        <v>6882.352941</v>
      </c>
      <c r="K22" s="85">
        <f>IF(Annahmen!$O$17="nein",Annahmen!$O$58*Annahmen!$O$64*Annahmen!$O$68*Annahmen!$M$47*Annahmen!$O$73,"")</f>
        <v>6882.352941</v>
      </c>
      <c r="L22" s="85">
        <f>IF(Annahmen!$O$17="nein",Annahmen!$O$58*Annahmen!$O$64*Annahmen!$O$68*Annahmen!$M$47*Annahmen!$O$73,"")</f>
        <v>6882.352941</v>
      </c>
      <c r="M22" s="85">
        <f>IF(Annahmen!$O$17="nein",Annahmen!$O$58*Annahmen!$O$64*Annahmen!$O$68*Annahmen!$M$47*Annahmen!$O$73,"")</f>
        <v>6882.352941</v>
      </c>
      <c r="N22" s="85">
        <f>IF(Annahmen!$O$17="nein",Annahmen!$O$58*Annahmen!$O$64*Annahmen!$O$68*Annahmen!$M$47*Annahmen!$O$73,"")</f>
        <v>6882.352941</v>
      </c>
      <c r="O22" s="85">
        <f>IF(Annahmen!$O$17="nein",Annahmen!$O$58*Annahmen!$O$64*Annahmen!$O$68*Annahmen!$M$47*Annahmen!$O$73,"")</f>
        <v>6882.352941</v>
      </c>
      <c r="P22" s="85">
        <f>IF(Annahmen!$O$17="nein",Annahmen!$O$58*Annahmen!$O$64*Annahmen!$O$68*Annahmen!$M$47*Annahmen!$O$73,"")</f>
        <v>6882.352941</v>
      </c>
      <c r="Q22" s="85">
        <f>IF(Annahmen!$O$17="nein",Annahmen!$O$58*Annahmen!$O$64*Annahmen!$O$68*Annahmen!$M$47*Annahmen!$O$73,"")</f>
        <v>6882.352941</v>
      </c>
      <c r="R22" s="85">
        <f>IF(Annahmen!$O$17="nein",Annahmen!$O$58*Annahmen!$O$64*Annahmen!$O$68*Annahmen!$M$47*Annahmen!$O$73,"")</f>
        <v>6882.352941</v>
      </c>
      <c r="S22" s="85">
        <f>IF(Annahmen!$O$17="nein",Annahmen!$O$58*Annahmen!$O$64*Annahmen!$O$68*Annahmen!$M$47*Annahmen!$O$73,"")</f>
        <v>6882.352941</v>
      </c>
      <c r="T22" s="85">
        <f>IF(Annahmen!$O$17="nein",Annahmen!$O$58*Annahmen!$O$64*Annahmen!$O$68*Annahmen!$M$47*Annahmen!$O$73,"")</f>
        <v>6882.352941</v>
      </c>
      <c r="U22" s="85">
        <f>IF(Annahmen!$O$17="nein",Annahmen!$O$58*Annahmen!$O$64*Annahmen!$O$68*Annahmen!$M$47*Annahmen!$O$73,"")</f>
        <v>6882.352941</v>
      </c>
      <c r="V22" s="85">
        <f>IF(Annahmen!$O$17="nein",Annahmen!$O$58*Annahmen!$O$64*Annahmen!$O$68*Annahmen!$M$47*Annahmen!$O$73,"")</f>
        <v>6882.352941</v>
      </c>
      <c r="W22" s="85">
        <f>IF(Annahmen!$O$17="nein",Annahmen!$O$58*Annahmen!$O$64*Annahmen!$O$68*Annahmen!$M$47*Annahmen!$O$73,"")</f>
        <v>6882.352941</v>
      </c>
    </row>
    <row r="23" ht="15.75" customHeight="1"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</row>
    <row r="24" ht="15.75" customHeight="1">
      <c r="A24" s="81"/>
      <c r="B24" s="81"/>
      <c r="C24" s="87" t="s">
        <v>167</v>
      </c>
      <c r="D24" s="88"/>
      <c r="E24" s="89">
        <f t="shared" ref="E24:W24" si="3">SUM(E12:E16)+E22</f>
        <v>19814.59593</v>
      </c>
      <c r="F24" s="89">
        <f t="shared" si="3"/>
        <v>26280.71743</v>
      </c>
      <c r="G24" s="89">
        <f t="shared" si="3"/>
        <v>32746.83892</v>
      </c>
      <c r="H24" s="89">
        <f t="shared" si="3"/>
        <v>32746.83892</v>
      </c>
      <c r="I24" s="89">
        <f t="shared" si="3"/>
        <v>32746.83892</v>
      </c>
      <c r="J24" s="89">
        <f t="shared" si="3"/>
        <v>32746.83892</v>
      </c>
      <c r="K24" s="89">
        <f t="shared" si="3"/>
        <v>32746.83892</v>
      </c>
      <c r="L24" s="89">
        <f t="shared" si="3"/>
        <v>32746.83892</v>
      </c>
      <c r="M24" s="89">
        <f t="shared" si="3"/>
        <v>32746.83892</v>
      </c>
      <c r="N24" s="89">
        <f t="shared" si="3"/>
        <v>32746.83892</v>
      </c>
      <c r="O24" s="89">
        <f t="shared" si="3"/>
        <v>32746.83892</v>
      </c>
      <c r="P24" s="89">
        <f t="shared" si="3"/>
        <v>32746.83892</v>
      </c>
      <c r="Q24" s="89">
        <f t="shared" si="3"/>
        <v>32746.83892</v>
      </c>
      <c r="R24" s="89">
        <f t="shared" si="3"/>
        <v>32746.83892</v>
      </c>
      <c r="S24" s="89">
        <f t="shared" si="3"/>
        <v>32746.83892</v>
      </c>
      <c r="T24" s="89">
        <f t="shared" si="3"/>
        <v>32746.83892</v>
      </c>
      <c r="U24" s="89">
        <f t="shared" si="3"/>
        <v>32746.83892</v>
      </c>
      <c r="V24" s="89">
        <f t="shared" si="3"/>
        <v>32746.83892</v>
      </c>
      <c r="W24" s="90">
        <f t="shared" si="3"/>
        <v>32746.83892</v>
      </c>
      <c r="X24" s="81"/>
      <c r="Y24" s="81"/>
      <c r="Z24" s="81"/>
      <c r="AA24" s="81"/>
    </row>
    <row r="25" ht="15.75" customHeight="1"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</row>
    <row r="26" ht="15.75" customHeight="1"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</row>
    <row r="27" ht="15.75" customHeight="1">
      <c r="B27" s="84" t="s">
        <v>168</v>
      </c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</row>
    <row r="28" ht="15.75" customHeight="1"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</row>
    <row r="29" ht="15.75" customHeight="1">
      <c r="C29" s="8" t="s">
        <v>169</v>
      </c>
      <c r="E29" s="91">
        <f>Annahmen!$H$27</f>
        <v>1000</v>
      </c>
      <c r="F29" s="91">
        <f>Annahmen!$H$27</f>
        <v>1000</v>
      </c>
      <c r="G29" s="91">
        <f>Annahmen!$H$27</f>
        <v>1000</v>
      </c>
      <c r="H29" s="91">
        <f>Annahmen!$H$27</f>
        <v>1000</v>
      </c>
      <c r="I29" s="91">
        <f>Annahmen!$H$27</f>
        <v>1000</v>
      </c>
      <c r="J29" s="91">
        <f>Annahmen!$H$27</f>
        <v>1000</v>
      </c>
      <c r="K29" s="91">
        <f>Annahmen!$H$27</f>
        <v>1000</v>
      </c>
      <c r="L29" s="91">
        <f>Annahmen!$H$27</f>
        <v>1000</v>
      </c>
      <c r="M29" s="91">
        <f>Annahmen!$H$27</f>
        <v>1000</v>
      </c>
      <c r="N29" s="91">
        <f>Annahmen!$H$27</f>
        <v>1000</v>
      </c>
      <c r="O29" s="91">
        <f>Annahmen!$H$27</f>
        <v>1000</v>
      </c>
      <c r="P29" s="91">
        <f>Annahmen!$H$27</f>
        <v>1000</v>
      </c>
      <c r="Q29" s="91">
        <f>Annahmen!$H$27</f>
        <v>1000</v>
      </c>
      <c r="R29" s="91">
        <f>Annahmen!$H$27</f>
        <v>1000</v>
      </c>
      <c r="S29" s="91">
        <f>Annahmen!$H$27</f>
        <v>1000</v>
      </c>
      <c r="T29" s="91">
        <f>Annahmen!$H$27</f>
        <v>1000</v>
      </c>
      <c r="U29" s="91">
        <f>Annahmen!$H$27</f>
        <v>1000</v>
      </c>
      <c r="V29" s="91">
        <f>Annahmen!$H$27</f>
        <v>1000</v>
      </c>
      <c r="W29" s="91">
        <f>Annahmen!$H$27</f>
        <v>1000</v>
      </c>
    </row>
    <row r="30" ht="15.75" customHeight="1">
      <c r="C30" s="8" t="s">
        <v>170</v>
      </c>
      <c r="E30" s="91">
        <f>Annahmen!$H$34/12</f>
        <v>75</v>
      </c>
      <c r="F30" s="91">
        <f>Annahmen!$H$34/12</f>
        <v>75</v>
      </c>
      <c r="G30" s="91">
        <f>Annahmen!$H$34/12</f>
        <v>75</v>
      </c>
      <c r="H30" s="91">
        <f>Annahmen!$H$34/12</f>
        <v>75</v>
      </c>
      <c r="I30" s="91">
        <f>Annahmen!$H$34/12</f>
        <v>75</v>
      </c>
      <c r="J30" s="91">
        <f>Annahmen!$H$34/12</f>
        <v>75</v>
      </c>
      <c r="K30" s="91">
        <f>Annahmen!$H$34/12</f>
        <v>75</v>
      </c>
      <c r="L30" s="91">
        <f>Annahmen!$H$34/12</f>
        <v>75</v>
      </c>
      <c r="M30" s="91">
        <f>Annahmen!$H$34/12</f>
        <v>75</v>
      </c>
      <c r="N30" s="91">
        <f>Annahmen!$H$34/12</f>
        <v>75</v>
      </c>
      <c r="O30" s="91">
        <f>Annahmen!$H$34/12</f>
        <v>75</v>
      </c>
      <c r="P30" s="91">
        <f>Annahmen!$H$34/12</f>
        <v>75</v>
      </c>
      <c r="Q30" s="91">
        <f>Annahmen!$H$34/12</f>
        <v>75</v>
      </c>
      <c r="R30" s="91">
        <f>Annahmen!$H$34/12</f>
        <v>75</v>
      </c>
      <c r="S30" s="91">
        <f>Annahmen!$H$34/12</f>
        <v>75</v>
      </c>
      <c r="T30" s="91">
        <f>Annahmen!$H$34/12</f>
        <v>75</v>
      </c>
      <c r="U30" s="91">
        <f>Annahmen!$H$34/12</f>
        <v>75</v>
      </c>
      <c r="V30" s="91">
        <f>Annahmen!$H$34/12</f>
        <v>75</v>
      </c>
      <c r="W30" s="91">
        <f>Annahmen!$H$34/12</f>
        <v>75</v>
      </c>
    </row>
    <row r="31" ht="15.75" customHeight="1">
      <c r="B31" s="92" t="s">
        <v>171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</row>
    <row r="32" ht="15.75" customHeight="1">
      <c r="C32" s="8" t="s">
        <v>172</v>
      </c>
      <c r="E32" s="91">
        <f>Annahmen!$O$31/Annahmen!$S$19*Annahmen!$S$22*(1+Annahmen!$S$23)*Annahmen!$M$52*(1+Annahmen!$S$24)</f>
        <v>3650.048325</v>
      </c>
      <c r="F32" s="91">
        <f>Annahmen!$O$31/Annahmen!$S$19*Annahmen!$S$22*(1+Annahmen!$S$23)*Annahmen!$M$52*(1+Annahmen!$S$24)</f>
        <v>3650.048325</v>
      </c>
      <c r="G32" s="91">
        <f>Annahmen!$O$31/Annahmen!$S$19*Annahmen!$S$22*(1+Annahmen!$S$23)*Annahmen!$M$52*(1+Annahmen!$S$24)</f>
        <v>3650.048325</v>
      </c>
      <c r="H32" s="91">
        <f>Annahmen!$O$31/Annahmen!$S$19*Annahmen!$S$22*(1+Annahmen!$S$23)*Annahmen!$M$52*(1+Annahmen!$S$24)</f>
        <v>3650.048325</v>
      </c>
      <c r="I32" s="91">
        <f>Annahmen!$O$31/Annahmen!$S$19*Annahmen!$S$22*(1+Annahmen!$S$23)*Annahmen!$M$52*(1+Annahmen!$S$24)</f>
        <v>3650.048325</v>
      </c>
      <c r="J32" s="91">
        <f>Annahmen!$O$31/Annahmen!$S$19*Annahmen!$S$22*(1+Annahmen!$S$23)*Annahmen!$M$52*(1+Annahmen!$S$24)</f>
        <v>3650.048325</v>
      </c>
      <c r="K32" s="91">
        <f>Annahmen!$O$31/Annahmen!$S$19*Annahmen!$S$22*(1+Annahmen!$S$23)*Annahmen!$M$52*(1+Annahmen!$S$24)</f>
        <v>3650.048325</v>
      </c>
      <c r="L32" s="91">
        <f>Annahmen!$O$31/Annahmen!$S$19*Annahmen!$S$22*(1+Annahmen!$S$23)*Annahmen!$M$52*(1+Annahmen!$S$24)</f>
        <v>3650.048325</v>
      </c>
      <c r="M32" s="91">
        <f>Annahmen!$O$31/Annahmen!$S$19*Annahmen!$S$22*(1+Annahmen!$S$23)*Annahmen!$M$52*(1+Annahmen!$S$24)</f>
        <v>3650.048325</v>
      </c>
      <c r="N32" s="91">
        <f>Annahmen!$O$31/Annahmen!$S$19*Annahmen!$S$22*(1+Annahmen!$S$23)*Annahmen!$M$52*(1+Annahmen!$S$24)</f>
        <v>3650.048325</v>
      </c>
      <c r="O32" s="91">
        <f>Annahmen!$O$31/Annahmen!$S$19*Annahmen!$S$22*(1+Annahmen!$S$23)*Annahmen!$M$52*(1+Annahmen!$S$24)</f>
        <v>3650.048325</v>
      </c>
      <c r="P32" s="91">
        <f>Annahmen!$O$31/Annahmen!$S$19*Annahmen!$S$22*(1+Annahmen!$S$23)*Annahmen!$M$52*(1+Annahmen!$S$24)</f>
        <v>3650.048325</v>
      </c>
      <c r="Q32" s="91">
        <f>Annahmen!$O$31/Annahmen!$S$19*Annahmen!$S$22*(1+Annahmen!$S$23)*Annahmen!$M$52*(1+Annahmen!$S$24)</f>
        <v>3650.048325</v>
      </c>
      <c r="R32" s="91">
        <f>Annahmen!$O$31/Annahmen!$S$19*Annahmen!$S$22*(1+Annahmen!$S$23)*Annahmen!$M$52*(1+Annahmen!$S$24)</f>
        <v>3650.048325</v>
      </c>
      <c r="S32" s="91">
        <f>Annahmen!$O$31/Annahmen!$S$19*Annahmen!$S$22*(1+Annahmen!$S$23)*Annahmen!$M$52*(1+Annahmen!$S$24)</f>
        <v>3650.048325</v>
      </c>
      <c r="T32" s="91">
        <f>Annahmen!$O$31/Annahmen!$S$19*Annahmen!$S$22*(1+Annahmen!$S$23)*Annahmen!$M$52*(1+Annahmen!$S$24)</f>
        <v>3650.048325</v>
      </c>
      <c r="U32" s="91">
        <f>Annahmen!$O$31/Annahmen!$S$19*Annahmen!$S$22*(1+Annahmen!$S$23)*Annahmen!$M$52*(1+Annahmen!$S$24)</f>
        <v>3650.048325</v>
      </c>
      <c r="V32" s="91">
        <f>Annahmen!$O$31/Annahmen!$S$19*Annahmen!$S$22*(1+Annahmen!$S$23)*Annahmen!$M$52*(1+Annahmen!$S$24)</f>
        <v>3650.048325</v>
      </c>
      <c r="W32" s="91">
        <f>Annahmen!$O$31/Annahmen!$S$19*Annahmen!$S$22*(1+Annahmen!$S$23)*Annahmen!$M$52*(1+Annahmen!$S$24)</f>
        <v>3650.048325</v>
      </c>
    </row>
    <row r="33" ht="15.75" customHeight="1">
      <c r="C33" s="8" t="s">
        <v>173</v>
      </c>
      <c r="E33" s="91">
        <f>Annahmen!$O$31/Annahmen!$S$20*Annahmen!$S$22*(1+Annahmen!$S$23)*(1+Annahmen!$S$24)</f>
        <v>4055.60925</v>
      </c>
      <c r="F33" s="91">
        <f>Annahmen!$O$31/Annahmen!$S$20*Annahmen!$S$22*(1+Annahmen!$S$23)*(1+Annahmen!$S$24)</f>
        <v>4055.60925</v>
      </c>
      <c r="G33" s="91">
        <f>Annahmen!$O$31/Annahmen!$S$20*Annahmen!$S$22*(1+Annahmen!$S$23)*(1+Annahmen!$S$24)</f>
        <v>4055.60925</v>
      </c>
      <c r="H33" s="91">
        <f>Annahmen!$O$31/Annahmen!$S$20*Annahmen!$S$22*(1+Annahmen!$S$23)*(1+Annahmen!$S$24)</f>
        <v>4055.60925</v>
      </c>
      <c r="I33" s="91">
        <f>Annahmen!$O$31/Annahmen!$S$20*Annahmen!$S$22*(1+Annahmen!$S$23)*(1+Annahmen!$S$24)</f>
        <v>4055.60925</v>
      </c>
      <c r="J33" s="91">
        <f>Annahmen!$O$31/Annahmen!$S$20*Annahmen!$S$22*(1+Annahmen!$S$23)*(1+Annahmen!$S$24)</f>
        <v>4055.60925</v>
      </c>
      <c r="K33" s="91">
        <f>Annahmen!$O$31/Annahmen!$S$20*Annahmen!$S$22*(1+Annahmen!$S$23)*(1+Annahmen!$S$24)</f>
        <v>4055.60925</v>
      </c>
      <c r="L33" s="91">
        <f>Annahmen!$O$31/Annahmen!$S$20*Annahmen!$S$22*(1+Annahmen!$S$23)*(1+Annahmen!$S$24)</f>
        <v>4055.60925</v>
      </c>
      <c r="M33" s="91">
        <f>Annahmen!$O$31/Annahmen!$S$20*Annahmen!$S$22*(1+Annahmen!$S$23)*(1+Annahmen!$S$24)</f>
        <v>4055.60925</v>
      </c>
      <c r="N33" s="91">
        <f>Annahmen!$O$31/Annahmen!$S$20*Annahmen!$S$22*(1+Annahmen!$S$23)*(1+Annahmen!$S$24)</f>
        <v>4055.60925</v>
      </c>
      <c r="O33" s="91">
        <f>Annahmen!$O$31/Annahmen!$S$20*Annahmen!$S$22*(1+Annahmen!$S$23)*(1+Annahmen!$S$24)</f>
        <v>4055.60925</v>
      </c>
      <c r="P33" s="91">
        <f>Annahmen!$O$31/Annahmen!$S$20*Annahmen!$S$22*(1+Annahmen!$S$23)*(1+Annahmen!$S$24)</f>
        <v>4055.60925</v>
      </c>
      <c r="Q33" s="91">
        <f>Annahmen!$O$31/Annahmen!$S$20*Annahmen!$S$22*(1+Annahmen!$S$23)*(1+Annahmen!$S$24)</f>
        <v>4055.60925</v>
      </c>
      <c r="R33" s="91">
        <f>Annahmen!$O$31/Annahmen!$S$20*Annahmen!$S$22*(1+Annahmen!$S$23)*(1+Annahmen!$S$24)</f>
        <v>4055.60925</v>
      </c>
      <c r="S33" s="91">
        <f>Annahmen!$O$31/Annahmen!$S$20*Annahmen!$S$22*(1+Annahmen!$S$23)*(1+Annahmen!$S$24)</f>
        <v>4055.60925</v>
      </c>
      <c r="T33" s="91">
        <f>Annahmen!$O$31/Annahmen!$S$20*Annahmen!$S$22*(1+Annahmen!$S$23)*(1+Annahmen!$S$24)</f>
        <v>4055.60925</v>
      </c>
      <c r="U33" s="91">
        <f>Annahmen!$O$31/Annahmen!$S$20*Annahmen!$S$22*(1+Annahmen!$S$23)*(1+Annahmen!$S$24)</f>
        <v>4055.60925</v>
      </c>
      <c r="V33" s="91">
        <f>Annahmen!$O$31/Annahmen!$S$20*Annahmen!$S$22*(1+Annahmen!$S$23)*(1+Annahmen!$S$24)</f>
        <v>4055.60925</v>
      </c>
      <c r="W33" s="91">
        <f>Annahmen!$O$31/Annahmen!$S$20*Annahmen!$S$22*(1+Annahmen!$S$23)*(1+Annahmen!$S$24)</f>
        <v>4055.60925</v>
      </c>
    </row>
    <row r="34" ht="15.75" customHeight="1">
      <c r="C34" s="8" t="s">
        <v>174</v>
      </c>
      <c r="E34" s="91">
        <f>Annahmen!$O$58*Annahmen!$O$64/Annahmen!$S$20*Annahmen!$S$22*Annahmen!$O$73*(1+Annahmen!$S$23)*(1+Annahmen!$S$24)</f>
        <v>2343.2409</v>
      </c>
      <c r="F34" s="91">
        <f>Annahmen!$O$58*Annahmen!$O$64/Annahmen!$S$20*Annahmen!$S$22*Annahmen!$O$73*(1+Annahmen!$S$23)*(1+Annahmen!$S$24)</f>
        <v>2343.2409</v>
      </c>
      <c r="G34" s="91">
        <f>Annahmen!$O$58*Annahmen!$O$64/Annahmen!$S$20*Annahmen!$S$22*Annahmen!$O$73*(1+Annahmen!$S$23)*(1+Annahmen!$S$24)</f>
        <v>2343.2409</v>
      </c>
      <c r="H34" s="91">
        <f>Annahmen!$O$58*Annahmen!$O$64/Annahmen!$S$20*Annahmen!$S$22*Annahmen!$O$73*(1+Annahmen!$S$23)*(1+Annahmen!$S$24)</f>
        <v>2343.2409</v>
      </c>
      <c r="I34" s="91">
        <f>Annahmen!$O$58*Annahmen!$O$64/Annahmen!$S$20*Annahmen!$S$22*Annahmen!$O$73*(1+Annahmen!$S$23)*(1+Annahmen!$S$24)</f>
        <v>2343.2409</v>
      </c>
      <c r="J34" s="91">
        <f>Annahmen!$O$58*Annahmen!$O$64/Annahmen!$S$20*Annahmen!$S$22*Annahmen!$O$73*(1+Annahmen!$S$23)*(1+Annahmen!$S$24)</f>
        <v>2343.2409</v>
      </c>
      <c r="K34" s="91">
        <f>Annahmen!$O$58*Annahmen!$O$64/Annahmen!$S$20*Annahmen!$S$22*Annahmen!$O$73*(1+Annahmen!$S$23)*(1+Annahmen!$S$24)</f>
        <v>2343.2409</v>
      </c>
      <c r="L34" s="91">
        <f>Annahmen!$O$58*Annahmen!$O$64/Annahmen!$S$20*Annahmen!$S$22*Annahmen!$O$73*(1+Annahmen!$S$23)*(1+Annahmen!$S$24)</f>
        <v>2343.2409</v>
      </c>
      <c r="M34" s="91">
        <f>Annahmen!$O$58*Annahmen!$O$64/Annahmen!$S$20*Annahmen!$S$22*Annahmen!$O$73*(1+Annahmen!$S$23)*(1+Annahmen!$S$24)</f>
        <v>2343.2409</v>
      </c>
      <c r="N34" s="91">
        <f>Annahmen!$O$58*Annahmen!$O$64/Annahmen!$S$20*Annahmen!$S$22*Annahmen!$O$73*(1+Annahmen!$S$23)*(1+Annahmen!$S$24)</f>
        <v>2343.2409</v>
      </c>
      <c r="O34" s="91">
        <f>Annahmen!$O$58*Annahmen!$O$64/Annahmen!$S$20*Annahmen!$S$22*Annahmen!$O$73*(1+Annahmen!$S$23)*(1+Annahmen!$S$24)</f>
        <v>2343.2409</v>
      </c>
      <c r="P34" s="91">
        <f>Annahmen!$O$58*Annahmen!$O$64/Annahmen!$S$20*Annahmen!$S$22*Annahmen!$O$73*(1+Annahmen!$S$23)*(1+Annahmen!$S$24)</f>
        <v>2343.2409</v>
      </c>
      <c r="Q34" s="91">
        <f>Annahmen!$O$58*Annahmen!$O$64/Annahmen!$S$20*Annahmen!$S$22*Annahmen!$O$73*(1+Annahmen!$S$23)*(1+Annahmen!$S$24)</f>
        <v>2343.2409</v>
      </c>
      <c r="R34" s="91">
        <f>Annahmen!$O$58*Annahmen!$O$64/Annahmen!$S$20*Annahmen!$S$22*Annahmen!$O$73*(1+Annahmen!$S$23)*(1+Annahmen!$S$24)</f>
        <v>2343.2409</v>
      </c>
      <c r="S34" s="91">
        <f>Annahmen!$O$58*Annahmen!$O$64/Annahmen!$S$20*Annahmen!$S$22*Annahmen!$O$73*(1+Annahmen!$S$23)*(1+Annahmen!$S$24)</f>
        <v>2343.2409</v>
      </c>
      <c r="T34" s="91">
        <f>Annahmen!$O$58*Annahmen!$O$64/Annahmen!$S$20*Annahmen!$S$22*Annahmen!$O$73*(1+Annahmen!$S$23)*(1+Annahmen!$S$24)</f>
        <v>2343.2409</v>
      </c>
      <c r="U34" s="91">
        <f>Annahmen!$O$58*Annahmen!$O$64/Annahmen!$S$20*Annahmen!$S$22*Annahmen!$O$73*(1+Annahmen!$S$23)*(1+Annahmen!$S$24)</f>
        <v>2343.2409</v>
      </c>
      <c r="V34" s="91">
        <f>Annahmen!$O$58*Annahmen!$O$64/Annahmen!$S$20*Annahmen!$S$22*Annahmen!$O$73*(1+Annahmen!$S$23)*(1+Annahmen!$S$24)</f>
        <v>2343.2409</v>
      </c>
      <c r="W34" s="91">
        <f>Annahmen!$O$58*Annahmen!$O$64/Annahmen!$S$20*Annahmen!$S$22*Annahmen!$O$73*(1+Annahmen!$S$23)*(1+Annahmen!$S$24)</f>
        <v>2343.2409</v>
      </c>
    </row>
    <row r="35" ht="15.75" customHeight="1">
      <c r="C35" s="8" t="s">
        <v>175</v>
      </c>
      <c r="E35" s="91">
        <f>Annahmen!O61*Annahmen!$O$74*Annahmen!$S$22*Annahmen!$O$73*(1+Annahmen!$S$23)*(1+Annahmen!$S$24)</f>
        <v>2499.45696</v>
      </c>
      <c r="F35" s="91">
        <f>Annahmen!P61*Annahmen!$O$74*Annahmen!$S$22*Annahmen!$O$73*(1+Annahmen!$S$23)*(1+Annahmen!$S$24)</f>
        <v>0</v>
      </c>
      <c r="G35" s="91">
        <f>Annahmen!Q61*Annahmen!$O$74*Annahmen!$S$22*Annahmen!$O$73*(1+Annahmen!$S$23)*(1+Annahmen!$S$24)</f>
        <v>0</v>
      </c>
      <c r="H35" s="91">
        <f>Annahmen!R61*Annahmen!$O$74*Annahmen!$S$22*Annahmen!$O$73*(1+Annahmen!$S$23)*(1+Annahmen!$S$24)</f>
        <v>0</v>
      </c>
      <c r="I35" s="91">
        <f>Annahmen!S61*Annahmen!$O$74*Annahmen!$S$22*Annahmen!$O$73*(1+Annahmen!$S$23)*(1+Annahmen!$S$24)</f>
        <v>0</v>
      </c>
      <c r="J35" s="91">
        <f>Annahmen!T61*Annahmen!$O$74*Annahmen!$S$22*Annahmen!$O$73*(1+Annahmen!$S$23)*(1+Annahmen!$S$24)</f>
        <v>0</v>
      </c>
      <c r="K35" s="91">
        <f>Annahmen!U61*Annahmen!$O$74*Annahmen!$S$22*Annahmen!$O$73*(1+Annahmen!$S$23)*(1+Annahmen!$S$24)</f>
        <v>0</v>
      </c>
      <c r="L35" s="91">
        <f>Annahmen!V61*Annahmen!$O$74*Annahmen!$S$22*Annahmen!$O$73*(1+Annahmen!$S$23)*(1+Annahmen!$S$24)</f>
        <v>0</v>
      </c>
      <c r="M35" s="91">
        <f>Annahmen!W61*Annahmen!$O$74*Annahmen!$S$22*Annahmen!$O$73*(1+Annahmen!$S$23)*(1+Annahmen!$S$24)</f>
        <v>0</v>
      </c>
      <c r="N35" s="91">
        <f>Annahmen!X61*Annahmen!$O$74*Annahmen!$S$22*Annahmen!$O$73*(1+Annahmen!$S$23)*(1+Annahmen!$S$24)</f>
        <v>0</v>
      </c>
      <c r="O35" s="91">
        <f>Annahmen!Y61*Annahmen!$O$74*Annahmen!$S$22*Annahmen!$O$73*(1+Annahmen!$S$23)*(1+Annahmen!$S$24)</f>
        <v>0</v>
      </c>
      <c r="P35" s="91">
        <f>Annahmen!Z61*Annahmen!$O$74*Annahmen!$S$22*Annahmen!$O$73*(1+Annahmen!$S$23)*(1+Annahmen!$S$24)</f>
        <v>0</v>
      </c>
      <c r="Q35" s="91">
        <f>Annahmen!AA61*Annahmen!$O$74*Annahmen!$S$22*Annahmen!$O$73*(1+Annahmen!$S$23)*(1+Annahmen!$S$24)</f>
        <v>0</v>
      </c>
      <c r="R35" s="91">
        <f>Annahmen!AB61*Annahmen!$O$74*Annahmen!$S$22*Annahmen!$O$73*(1+Annahmen!$S$23)*(1+Annahmen!$S$24)</f>
        <v>0</v>
      </c>
      <c r="S35" s="91">
        <f>Annahmen!AC61*Annahmen!$O$74*Annahmen!$S$22*Annahmen!$O$73*(1+Annahmen!$S$23)*(1+Annahmen!$S$24)</f>
        <v>0</v>
      </c>
      <c r="T35" s="91">
        <f>Annahmen!AD61*Annahmen!$O$74*Annahmen!$S$22*Annahmen!$O$73*(1+Annahmen!$S$23)*(1+Annahmen!$S$24)</f>
        <v>0</v>
      </c>
      <c r="U35" s="91">
        <f>Annahmen!AE61*Annahmen!$O$74*Annahmen!$S$22*Annahmen!$O$73*(1+Annahmen!$S$23)*(1+Annahmen!$S$24)</f>
        <v>0</v>
      </c>
      <c r="V35" s="91">
        <f>Annahmen!AF61*Annahmen!$O$74*Annahmen!$S$22*Annahmen!$O$73*(1+Annahmen!$S$23)*(1+Annahmen!$S$24)</f>
        <v>0</v>
      </c>
      <c r="W35" s="91">
        <f>Annahmen!AG61*Annahmen!$O$74*Annahmen!$S$22*Annahmen!$O$73*(1+Annahmen!$S$23)*(1+Annahmen!$S$24)</f>
        <v>0</v>
      </c>
    </row>
    <row r="36" ht="15.75" customHeight="1">
      <c r="C36" s="8" t="s">
        <v>176</v>
      </c>
      <c r="E36" s="91">
        <v>0.0</v>
      </c>
      <c r="F36" s="91">
        <v>0.0</v>
      </c>
      <c r="G36" s="91">
        <v>0.0</v>
      </c>
      <c r="H36" s="91">
        <v>0.0</v>
      </c>
      <c r="I36" s="91">
        <v>0.0</v>
      </c>
      <c r="J36" s="91">
        <v>0.0</v>
      </c>
      <c r="K36" s="91">
        <v>0.0</v>
      </c>
      <c r="L36" s="91">
        <v>0.0</v>
      </c>
      <c r="M36" s="91">
        <v>0.0</v>
      </c>
      <c r="N36" s="91">
        <v>0.0</v>
      </c>
      <c r="O36" s="91">
        <v>0.0</v>
      </c>
      <c r="P36" s="91">
        <v>0.0</v>
      </c>
      <c r="Q36" s="91">
        <v>0.0</v>
      </c>
      <c r="R36" s="91">
        <v>0.0</v>
      </c>
      <c r="S36" s="91">
        <v>0.0</v>
      </c>
      <c r="T36" s="91">
        <v>0.0</v>
      </c>
      <c r="U36" s="91">
        <v>0.0</v>
      </c>
      <c r="V36" s="91">
        <v>0.0</v>
      </c>
      <c r="W36" s="91">
        <v>0.0</v>
      </c>
    </row>
    <row r="37" ht="15.75" customHeight="1">
      <c r="C37" s="8" t="s">
        <v>177</v>
      </c>
      <c r="E37" s="91">
        <f>Annahmen!$T$26</f>
        <v>2500</v>
      </c>
      <c r="F37" s="91">
        <f>Annahmen!$T$26</f>
        <v>2500</v>
      </c>
      <c r="G37" s="91">
        <f>Annahmen!$T$26</f>
        <v>2500</v>
      </c>
      <c r="H37" s="91">
        <f>Annahmen!$T$26</f>
        <v>2500</v>
      </c>
      <c r="I37" s="91">
        <f>Annahmen!$T$26</f>
        <v>2500</v>
      </c>
      <c r="J37" s="91">
        <f>Annahmen!$T$26</f>
        <v>2500</v>
      </c>
      <c r="K37" s="91">
        <f>Annahmen!$T$26</f>
        <v>2500</v>
      </c>
      <c r="L37" s="91">
        <f>Annahmen!$T$26</f>
        <v>2500</v>
      </c>
      <c r="M37" s="91">
        <f>Annahmen!$T$26</f>
        <v>2500</v>
      </c>
      <c r="N37" s="91">
        <f>Annahmen!$T$26</f>
        <v>2500</v>
      </c>
      <c r="O37" s="91">
        <f>Annahmen!$T$26</f>
        <v>2500</v>
      </c>
      <c r="P37" s="91">
        <f>Annahmen!$T$26</f>
        <v>2500</v>
      </c>
      <c r="Q37" s="91">
        <f>Annahmen!$T$26</f>
        <v>2500</v>
      </c>
      <c r="R37" s="91">
        <f>Annahmen!$T$26</f>
        <v>2500</v>
      </c>
      <c r="S37" s="91">
        <f>Annahmen!$T$26</f>
        <v>2500</v>
      </c>
      <c r="T37" s="91">
        <f>Annahmen!$T$26</f>
        <v>2500</v>
      </c>
      <c r="U37" s="91">
        <f>Annahmen!$T$26</f>
        <v>2500</v>
      </c>
      <c r="V37" s="91">
        <f>Annahmen!$T$26</f>
        <v>2500</v>
      </c>
      <c r="W37" s="91">
        <f>Annahmen!$T$26</f>
        <v>2500</v>
      </c>
    </row>
    <row r="38" ht="15.75" customHeight="1">
      <c r="B38" s="92" t="s">
        <v>132</v>
      </c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</row>
    <row r="39" ht="15.75" customHeight="1">
      <c r="C39" s="8" t="str">
        <f>Annahmen!Q53</f>
        <v>Wareneinsatz</v>
      </c>
      <c r="E39" s="91">
        <f>E24*Annahmen!$S$53</f>
        <v>4953.648983</v>
      </c>
      <c r="F39" s="91">
        <f>F24*Annahmen!$S$53</f>
        <v>6570.179357</v>
      </c>
      <c r="G39" s="91">
        <f>G24*Annahmen!$S$53</f>
        <v>8186.709731</v>
      </c>
      <c r="H39" s="91">
        <f>H24*Annahmen!$S$53</f>
        <v>8186.709731</v>
      </c>
      <c r="I39" s="91">
        <f>I24*Annahmen!$S$53</f>
        <v>8186.709731</v>
      </c>
      <c r="J39" s="91">
        <f>J24*Annahmen!$S$53</f>
        <v>8186.709731</v>
      </c>
      <c r="K39" s="91">
        <f>K24*Annahmen!$S$53</f>
        <v>8186.709731</v>
      </c>
      <c r="L39" s="91">
        <f>L24*Annahmen!$S$53</f>
        <v>8186.709731</v>
      </c>
      <c r="M39" s="91">
        <f>M24*Annahmen!$S$53</f>
        <v>8186.709731</v>
      </c>
      <c r="N39" s="91">
        <f>N24*Annahmen!$S$53</f>
        <v>8186.709731</v>
      </c>
      <c r="O39" s="91">
        <f>O24*Annahmen!$S$53</f>
        <v>8186.709731</v>
      </c>
      <c r="P39" s="91">
        <f>P24*Annahmen!$S$53</f>
        <v>8186.709731</v>
      </c>
      <c r="Q39" s="91">
        <f>Q24*Annahmen!$S$53</f>
        <v>8186.709731</v>
      </c>
      <c r="R39" s="91">
        <f>R24*Annahmen!$S$53</f>
        <v>8186.709731</v>
      </c>
      <c r="S39" s="91">
        <f>S24*Annahmen!$S$53</f>
        <v>8186.709731</v>
      </c>
      <c r="T39" s="91">
        <f>T24*Annahmen!$S$53</f>
        <v>8186.709731</v>
      </c>
      <c r="U39" s="91">
        <f>U24*Annahmen!$S$53</f>
        <v>8186.709731</v>
      </c>
      <c r="V39" s="91">
        <f>V24*Annahmen!$S$53</f>
        <v>8186.709731</v>
      </c>
      <c r="W39" s="91">
        <f>W24*Annahmen!$S$53</f>
        <v>8186.709731</v>
      </c>
    </row>
    <row r="40" ht="15.75" customHeight="1">
      <c r="C40" s="8" t="str">
        <f>Annahmen!Q54</f>
        <v>Warenverlust</v>
      </c>
      <c r="E40" s="91">
        <f>E39*Annahmen!$S$54</f>
        <v>198.1459593</v>
      </c>
      <c r="F40" s="91">
        <f>F39*Annahmen!$S$54</f>
        <v>262.8071743</v>
      </c>
      <c r="G40" s="91">
        <f>G39*Annahmen!$S$54</f>
        <v>327.4683892</v>
      </c>
      <c r="H40" s="91">
        <f>H39*Annahmen!$S$54</f>
        <v>327.4683892</v>
      </c>
      <c r="I40" s="91">
        <f>I39*Annahmen!$S$54</f>
        <v>327.4683892</v>
      </c>
      <c r="J40" s="91">
        <f>J39*Annahmen!$S$54</f>
        <v>327.4683892</v>
      </c>
      <c r="K40" s="91">
        <f>K39*Annahmen!$S$54</f>
        <v>327.4683892</v>
      </c>
      <c r="L40" s="91">
        <f>L39*Annahmen!$S$54</f>
        <v>327.4683892</v>
      </c>
      <c r="M40" s="91">
        <f>M39*Annahmen!$S$54</f>
        <v>327.4683892</v>
      </c>
      <c r="N40" s="91">
        <f>N39*Annahmen!$S$54</f>
        <v>327.4683892</v>
      </c>
      <c r="O40" s="91">
        <f>O39*Annahmen!$S$54</f>
        <v>327.4683892</v>
      </c>
      <c r="P40" s="91">
        <f>P39*Annahmen!$S$54</f>
        <v>327.4683892</v>
      </c>
      <c r="Q40" s="91">
        <f>Q39*Annahmen!$S$54</f>
        <v>327.4683892</v>
      </c>
      <c r="R40" s="91">
        <f>R39*Annahmen!$S$54</f>
        <v>327.4683892</v>
      </c>
      <c r="S40" s="91">
        <f>S39*Annahmen!$S$54</f>
        <v>327.4683892</v>
      </c>
      <c r="T40" s="91">
        <f>T39*Annahmen!$S$54</f>
        <v>327.4683892</v>
      </c>
      <c r="U40" s="91">
        <f>U39*Annahmen!$S$54</f>
        <v>327.4683892</v>
      </c>
      <c r="V40" s="91">
        <f>V39*Annahmen!$S$54</f>
        <v>327.4683892</v>
      </c>
      <c r="W40" s="91">
        <f>W39*Annahmen!$S$54</f>
        <v>327.4683892</v>
      </c>
    </row>
    <row r="41" ht="15.75" customHeight="1">
      <c r="B41" s="92" t="s">
        <v>178</v>
      </c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</row>
    <row r="42" ht="15.75" customHeight="1">
      <c r="C42" s="8" t="str">
        <f>Annahmen!Q36</f>
        <v>Strom</v>
      </c>
      <c r="E42" s="91">
        <f>Annahmen!$S$36</f>
        <v>100</v>
      </c>
      <c r="F42" s="91">
        <f>Annahmen!$S$36</f>
        <v>100</v>
      </c>
      <c r="G42" s="91">
        <f>Annahmen!$S$36</f>
        <v>100</v>
      </c>
      <c r="H42" s="91">
        <f>Annahmen!$S$36</f>
        <v>100</v>
      </c>
      <c r="I42" s="91">
        <f>Annahmen!$S$36</f>
        <v>100</v>
      </c>
      <c r="J42" s="91">
        <f>Annahmen!$S$36</f>
        <v>100</v>
      </c>
      <c r="K42" s="91">
        <f>Annahmen!$S$36</f>
        <v>100</v>
      </c>
      <c r="L42" s="91">
        <f>Annahmen!$S$36</f>
        <v>100</v>
      </c>
      <c r="M42" s="91">
        <f>Annahmen!$S$36</f>
        <v>100</v>
      </c>
      <c r="N42" s="91">
        <f>Annahmen!$S$36</f>
        <v>100</v>
      </c>
      <c r="O42" s="91">
        <f>Annahmen!$S$36</f>
        <v>100</v>
      </c>
      <c r="P42" s="91">
        <f>Annahmen!$S$36</f>
        <v>100</v>
      </c>
      <c r="Q42" s="91">
        <f>Annahmen!$S$36</f>
        <v>100</v>
      </c>
      <c r="R42" s="91">
        <f>Annahmen!$S$36</f>
        <v>100</v>
      </c>
      <c r="S42" s="91">
        <f>Annahmen!$S$36</f>
        <v>100</v>
      </c>
      <c r="T42" s="91">
        <f>Annahmen!$S$36</f>
        <v>100</v>
      </c>
      <c r="U42" s="91">
        <f>Annahmen!$S$36</f>
        <v>100</v>
      </c>
      <c r="V42" s="91">
        <f>Annahmen!$S$36</f>
        <v>100</v>
      </c>
      <c r="W42" s="91">
        <f>Annahmen!$S$36</f>
        <v>100</v>
      </c>
    </row>
    <row r="43" ht="15.75" customHeight="1">
      <c r="C43" s="8" t="str">
        <f>Annahmen!Q37</f>
        <v>Wasser</v>
      </c>
      <c r="E43" s="91">
        <f>Annahmen!$S$37</f>
        <v>0</v>
      </c>
      <c r="F43" s="91">
        <f>Annahmen!$S$37</f>
        <v>0</v>
      </c>
      <c r="G43" s="91">
        <f>Annahmen!$S$37</f>
        <v>0</v>
      </c>
      <c r="H43" s="91">
        <f>Annahmen!$S$37</f>
        <v>0</v>
      </c>
      <c r="I43" s="91">
        <f>Annahmen!$S$37</f>
        <v>0</v>
      </c>
      <c r="J43" s="91">
        <f>Annahmen!$S$37</f>
        <v>0</v>
      </c>
      <c r="K43" s="91">
        <f>Annahmen!$S$37</f>
        <v>0</v>
      </c>
      <c r="L43" s="91">
        <f>Annahmen!$S$37</f>
        <v>0</v>
      </c>
      <c r="M43" s="91">
        <f>Annahmen!$S$37</f>
        <v>0</v>
      </c>
      <c r="N43" s="91">
        <f>Annahmen!$S$37</f>
        <v>0</v>
      </c>
      <c r="O43" s="91">
        <f>Annahmen!$S$37</f>
        <v>0</v>
      </c>
      <c r="P43" s="91">
        <f>Annahmen!$S$37</f>
        <v>0</v>
      </c>
      <c r="Q43" s="91">
        <f>Annahmen!$S$37</f>
        <v>0</v>
      </c>
      <c r="R43" s="91">
        <f>Annahmen!$S$37</f>
        <v>0</v>
      </c>
      <c r="S43" s="91">
        <f>Annahmen!$S$37</f>
        <v>0</v>
      </c>
      <c r="T43" s="91">
        <f>Annahmen!$S$37</f>
        <v>0</v>
      </c>
      <c r="U43" s="91">
        <f>Annahmen!$S$37</f>
        <v>0</v>
      </c>
      <c r="V43" s="91">
        <f>Annahmen!$S$37</f>
        <v>0</v>
      </c>
      <c r="W43" s="91">
        <f>Annahmen!$S$37</f>
        <v>0</v>
      </c>
    </row>
    <row r="44" ht="15.75" customHeight="1">
      <c r="C44" s="8" t="str">
        <f>Annahmen!Q38</f>
        <v>Internet</v>
      </c>
      <c r="E44" s="91">
        <f>Annahmen!$S$38</f>
        <v>40</v>
      </c>
      <c r="F44" s="91">
        <f>Annahmen!$S$38</f>
        <v>40</v>
      </c>
      <c r="G44" s="91">
        <f>Annahmen!$S$38</f>
        <v>40</v>
      </c>
      <c r="H44" s="91">
        <f>Annahmen!$S$38</f>
        <v>40</v>
      </c>
      <c r="I44" s="91">
        <f>Annahmen!$S$38</f>
        <v>40</v>
      </c>
      <c r="J44" s="91">
        <f>Annahmen!$S$38</f>
        <v>40</v>
      </c>
      <c r="K44" s="91">
        <f>Annahmen!$S$38</f>
        <v>40</v>
      </c>
      <c r="L44" s="91">
        <f>Annahmen!$S$38</f>
        <v>40</v>
      </c>
      <c r="M44" s="91">
        <f>Annahmen!$S$38</f>
        <v>40</v>
      </c>
      <c r="N44" s="91">
        <f>Annahmen!$S$38</f>
        <v>40</v>
      </c>
      <c r="O44" s="91">
        <f>Annahmen!$S$38</f>
        <v>40</v>
      </c>
      <c r="P44" s="91">
        <f>Annahmen!$S$38</f>
        <v>40</v>
      </c>
      <c r="Q44" s="91">
        <f>Annahmen!$S$38</f>
        <v>40</v>
      </c>
      <c r="R44" s="91">
        <f>Annahmen!$S$38</f>
        <v>40</v>
      </c>
      <c r="S44" s="91">
        <f>Annahmen!$S$38</f>
        <v>40</v>
      </c>
      <c r="T44" s="91">
        <f>Annahmen!$S$38</f>
        <v>40</v>
      </c>
      <c r="U44" s="91">
        <f>Annahmen!$S$38</f>
        <v>40</v>
      </c>
      <c r="V44" s="91">
        <f>Annahmen!$S$38</f>
        <v>40</v>
      </c>
      <c r="W44" s="91">
        <f>Annahmen!$S$38</f>
        <v>40</v>
      </c>
    </row>
    <row r="45" ht="15.75" customHeight="1">
      <c r="C45" s="8" t="str">
        <f>Annahmen!Q39</f>
        <v>Telefonie</v>
      </c>
      <c r="E45" s="91">
        <f>Annahmen!$S$39</f>
        <v>50</v>
      </c>
      <c r="F45" s="91">
        <f>Annahmen!$S$39</f>
        <v>50</v>
      </c>
      <c r="G45" s="91">
        <f>Annahmen!$S$39</f>
        <v>50</v>
      </c>
      <c r="H45" s="91">
        <f>Annahmen!$S$39</f>
        <v>50</v>
      </c>
      <c r="I45" s="91">
        <f>Annahmen!$S$39</f>
        <v>50</v>
      </c>
      <c r="J45" s="91">
        <f>Annahmen!$S$39</f>
        <v>50</v>
      </c>
      <c r="K45" s="91">
        <f>Annahmen!$S$39</f>
        <v>50</v>
      </c>
      <c r="L45" s="91">
        <f>Annahmen!$S$39</f>
        <v>50</v>
      </c>
      <c r="M45" s="91">
        <f>Annahmen!$S$39</f>
        <v>50</v>
      </c>
      <c r="N45" s="91">
        <f>Annahmen!$S$39</f>
        <v>50</v>
      </c>
      <c r="O45" s="91">
        <f>Annahmen!$S$39</f>
        <v>50</v>
      </c>
      <c r="P45" s="91">
        <f>Annahmen!$S$39</f>
        <v>50</v>
      </c>
      <c r="Q45" s="91">
        <f>Annahmen!$S$39</f>
        <v>50</v>
      </c>
      <c r="R45" s="91">
        <f>Annahmen!$S$39</f>
        <v>50</v>
      </c>
      <c r="S45" s="91">
        <f>Annahmen!$S$39</f>
        <v>50</v>
      </c>
      <c r="T45" s="91">
        <f>Annahmen!$S$39</f>
        <v>50</v>
      </c>
      <c r="U45" s="91">
        <f>Annahmen!$S$39</f>
        <v>50</v>
      </c>
      <c r="V45" s="91">
        <f>Annahmen!$S$39</f>
        <v>50</v>
      </c>
      <c r="W45" s="91">
        <f>Annahmen!$S$39</f>
        <v>50</v>
      </c>
    </row>
    <row r="46" ht="15.75" customHeight="1">
      <c r="C46" s="8" t="str">
        <f>Annahmen!Q40</f>
        <v>Kassensystem</v>
      </c>
      <c r="E46" s="91">
        <f>Annahmen!$S$40</f>
        <v>60</v>
      </c>
      <c r="F46" s="91">
        <f>Annahmen!$S$40</f>
        <v>60</v>
      </c>
      <c r="G46" s="91">
        <f>Annahmen!$S$40</f>
        <v>60</v>
      </c>
      <c r="H46" s="91">
        <f>Annahmen!$S$40</f>
        <v>60</v>
      </c>
      <c r="I46" s="91">
        <f>Annahmen!$S$40</f>
        <v>60</v>
      </c>
      <c r="J46" s="91">
        <f>Annahmen!$S$40</f>
        <v>60</v>
      </c>
      <c r="K46" s="91">
        <f>Annahmen!$S$40</f>
        <v>60</v>
      </c>
      <c r="L46" s="91">
        <f>Annahmen!$S$40</f>
        <v>60</v>
      </c>
      <c r="M46" s="91">
        <f>Annahmen!$S$40</f>
        <v>60</v>
      </c>
      <c r="N46" s="91">
        <f>Annahmen!$S$40</f>
        <v>60</v>
      </c>
      <c r="O46" s="91">
        <f>Annahmen!$S$40</f>
        <v>60</v>
      </c>
      <c r="P46" s="91">
        <f>Annahmen!$S$40</f>
        <v>60</v>
      </c>
      <c r="Q46" s="91">
        <f>Annahmen!$S$40</f>
        <v>60</v>
      </c>
      <c r="R46" s="91">
        <f>Annahmen!$S$40</f>
        <v>60</v>
      </c>
      <c r="S46" s="91">
        <f>Annahmen!$S$40</f>
        <v>60</v>
      </c>
      <c r="T46" s="91">
        <f>Annahmen!$S$40</f>
        <v>60</v>
      </c>
      <c r="U46" s="91">
        <f>Annahmen!$S$40</f>
        <v>60</v>
      </c>
      <c r="V46" s="91">
        <f>Annahmen!$S$40</f>
        <v>60</v>
      </c>
      <c r="W46" s="91">
        <f>Annahmen!$S$40</f>
        <v>60</v>
      </c>
    </row>
    <row r="47" ht="15.75" customHeight="1">
      <c r="C47" s="8" t="str">
        <f>Annahmen!Q41</f>
        <v>Steuerberater</v>
      </c>
      <c r="E47" s="91">
        <f>Annahmen!$S$41</f>
        <v>300</v>
      </c>
      <c r="F47" s="91">
        <f>Annahmen!$S$41</f>
        <v>300</v>
      </c>
      <c r="G47" s="91">
        <f>Annahmen!$S$41</f>
        <v>300</v>
      </c>
      <c r="H47" s="91">
        <f>Annahmen!$S$41</f>
        <v>300</v>
      </c>
      <c r="I47" s="91">
        <f>Annahmen!$S$41</f>
        <v>300</v>
      </c>
      <c r="J47" s="91">
        <f>Annahmen!$S$41</f>
        <v>300</v>
      </c>
      <c r="K47" s="91">
        <f>Annahmen!$S$41</f>
        <v>300</v>
      </c>
      <c r="L47" s="91">
        <f>Annahmen!$S$41</f>
        <v>300</v>
      </c>
      <c r="M47" s="91">
        <f>Annahmen!$S$41</f>
        <v>300</v>
      </c>
      <c r="N47" s="91">
        <f>Annahmen!$S$41</f>
        <v>300</v>
      </c>
      <c r="O47" s="91">
        <f>Annahmen!$S$41</f>
        <v>300</v>
      </c>
      <c r="P47" s="91">
        <f>Annahmen!$S$41</f>
        <v>300</v>
      </c>
      <c r="Q47" s="91">
        <f>Annahmen!$S$41</f>
        <v>300</v>
      </c>
      <c r="R47" s="91">
        <f>Annahmen!$S$41</f>
        <v>300</v>
      </c>
      <c r="S47" s="91">
        <f>Annahmen!$S$41</f>
        <v>300</v>
      </c>
      <c r="T47" s="91">
        <f>Annahmen!$S$41</f>
        <v>300</v>
      </c>
      <c r="U47" s="91">
        <f>Annahmen!$S$41</f>
        <v>300</v>
      </c>
      <c r="V47" s="91">
        <f>Annahmen!$S$41</f>
        <v>300</v>
      </c>
      <c r="W47" s="91">
        <f>Annahmen!$S$41</f>
        <v>300</v>
      </c>
    </row>
    <row r="48" ht="15.75" customHeight="1">
      <c r="C48" s="8" t="str">
        <f>Annahmen!Q42</f>
        <v>Bankkosten</v>
      </c>
      <c r="E48" s="91">
        <f>Annahmen!$S$42</f>
        <v>30</v>
      </c>
      <c r="F48" s="91">
        <f>Annahmen!$S$42</f>
        <v>30</v>
      </c>
      <c r="G48" s="91">
        <f>Annahmen!$S$42</f>
        <v>30</v>
      </c>
      <c r="H48" s="91">
        <f>Annahmen!$S$42</f>
        <v>30</v>
      </c>
      <c r="I48" s="91">
        <f>Annahmen!$S$42</f>
        <v>30</v>
      </c>
      <c r="J48" s="91">
        <f>Annahmen!$S$42</f>
        <v>30</v>
      </c>
      <c r="K48" s="91">
        <f>Annahmen!$S$42</f>
        <v>30</v>
      </c>
      <c r="L48" s="91">
        <f>Annahmen!$S$42</f>
        <v>30</v>
      </c>
      <c r="M48" s="91">
        <f>Annahmen!$S$42</f>
        <v>30</v>
      </c>
      <c r="N48" s="91">
        <f>Annahmen!$S$42</f>
        <v>30</v>
      </c>
      <c r="O48" s="91">
        <f>Annahmen!$S$42</f>
        <v>30</v>
      </c>
      <c r="P48" s="91">
        <f>Annahmen!$S$42</f>
        <v>30</v>
      </c>
      <c r="Q48" s="91">
        <f>Annahmen!$S$42</f>
        <v>30</v>
      </c>
      <c r="R48" s="91">
        <f>Annahmen!$S$42</f>
        <v>30</v>
      </c>
      <c r="S48" s="91">
        <f>Annahmen!$S$42</f>
        <v>30</v>
      </c>
      <c r="T48" s="91">
        <f>Annahmen!$S$42</f>
        <v>30</v>
      </c>
      <c r="U48" s="91">
        <f>Annahmen!$S$42</f>
        <v>30</v>
      </c>
      <c r="V48" s="91">
        <f>Annahmen!$S$42</f>
        <v>30</v>
      </c>
      <c r="W48" s="91">
        <f>Annahmen!$S$42</f>
        <v>30</v>
      </c>
    </row>
    <row r="49" ht="15.75" customHeight="1">
      <c r="C49" s="8" t="str">
        <f>Annahmen!Q43</f>
        <v>Werbekosten</v>
      </c>
      <c r="E49" s="91">
        <f>Annahmen!$S$43</f>
        <v>250</v>
      </c>
      <c r="F49" s="91">
        <f>Annahmen!$S$43</f>
        <v>250</v>
      </c>
      <c r="G49" s="91">
        <f>Annahmen!$S$43</f>
        <v>250</v>
      </c>
      <c r="H49" s="91">
        <f>Annahmen!$S$43</f>
        <v>250</v>
      </c>
      <c r="I49" s="91">
        <f>Annahmen!$S$43</f>
        <v>250</v>
      </c>
      <c r="J49" s="91">
        <f>Annahmen!$S$43</f>
        <v>250</v>
      </c>
      <c r="K49" s="91">
        <f>Annahmen!$S$43</f>
        <v>250</v>
      </c>
      <c r="L49" s="91">
        <f>Annahmen!$S$43</f>
        <v>250</v>
      </c>
      <c r="M49" s="91">
        <f>Annahmen!$S$43</f>
        <v>250</v>
      </c>
      <c r="N49" s="91">
        <f>Annahmen!$S$43</f>
        <v>250</v>
      </c>
      <c r="O49" s="91">
        <f>Annahmen!$S$43</f>
        <v>250</v>
      </c>
      <c r="P49" s="91">
        <f>Annahmen!$S$43</f>
        <v>250</v>
      </c>
      <c r="Q49" s="91">
        <f>Annahmen!$S$43</f>
        <v>250</v>
      </c>
      <c r="R49" s="91">
        <f>Annahmen!$S$43</f>
        <v>250</v>
      </c>
      <c r="S49" s="91">
        <f>Annahmen!$S$43</f>
        <v>250</v>
      </c>
      <c r="T49" s="91">
        <f>Annahmen!$S$43</f>
        <v>250</v>
      </c>
      <c r="U49" s="91">
        <f>Annahmen!$S$43</f>
        <v>250</v>
      </c>
      <c r="V49" s="91">
        <f>Annahmen!$S$43</f>
        <v>250</v>
      </c>
      <c r="W49" s="91">
        <f>Annahmen!$S$43</f>
        <v>250</v>
      </c>
    </row>
    <row r="50" ht="15.75" customHeight="1">
      <c r="C50" s="8" t="str">
        <f>Annahmen!Q44</f>
        <v>Wartung</v>
      </c>
      <c r="E50" s="91">
        <f>Annahmen!$S$44</f>
        <v>250</v>
      </c>
      <c r="F50" s="91">
        <f>Annahmen!$S$44</f>
        <v>250</v>
      </c>
      <c r="G50" s="91">
        <f>Annahmen!$S$44</f>
        <v>250</v>
      </c>
      <c r="H50" s="91">
        <f>Annahmen!$S$44</f>
        <v>250</v>
      </c>
      <c r="I50" s="91">
        <f>Annahmen!$S$44</f>
        <v>250</v>
      </c>
      <c r="J50" s="91">
        <f>Annahmen!$S$44</f>
        <v>250</v>
      </c>
      <c r="K50" s="91">
        <f>Annahmen!$S$44</f>
        <v>250</v>
      </c>
      <c r="L50" s="91">
        <f>Annahmen!$S$44</f>
        <v>250</v>
      </c>
      <c r="M50" s="91">
        <f>Annahmen!$S$44</f>
        <v>250</v>
      </c>
      <c r="N50" s="91">
        <f>Annahmen!$S$44</f>
        <v>250</v>
      </c>
      <c r="O50" s="91">
        <f>Annahmen!$S$44</f>
        <v>250</v>
      </c>
      <c r="P50" s="91">
        <f>Annahmen!$S$44</f>
        <v>250</v>
      </c>
      <c r="Q50" s="91">
        <f>Annahmen!$S$44</f>
        <v>250</v>
      </c>
      <c r="R50" s="91">
        <f>Annahmen!$S$44</f>
        <v>250</v>
      </c>
      <c r="S50" s="91">
        <f>Annahmen!$S$44</f>
        <v>250</v>
      </c>
      <c r="T50" s="91">
        <f>Annahmen!$S$44</f>
        <v>250</v>
      </c>
      <c r="U50" s="91">
        <f>Annahmen!$S$44</f>
        <v>250</v>
      </c>
      <c r="V50" s="91">
        <f>Annahmen!$S$44</f>
        <v>250</v>
      </c>
      <c r="W50" s="91">
        <f>Annahmen!$S$44</f>
        <v>250</v>
      </c>
    </row>
    <row r="51" ht="15.75" customHeight="1">
      <c r="C51" s="8" t="str">
        <f>Annahmen!Q45</f>
        <v>Versicherungen</v>
      </c>
      <c r="E51" s="91">
        <f>Annahmen!$S$45</f>
        <v>250</v>
      </c>
      <c r="F51" s="91">
        <f>Annahmen!$S$45</f>
        <v>250</v>
      </c>
      <c r="G51" s="91">
        <f>Annahmen!$S$45</f>
        <v>250</v>
      </c>
      <c r="H51" s="91">
        <f>Annahmen!$S$45</f>
        <v>250</v>
      </c>
      <c r="I51" s="91">
        <f>Annahmen!$S$45</f>
        <v>250</v>
      </c>
      <c r="J51" s="91">
        <f>Annahmen!$S$45</f>
        <v>250</v>
      </c>
      <c r="K51" s="91">
        <f>Annahmen!$S$45</f>
        <v>250</v>
      </c>
      <c r="L51" s="91">
        <f>Annahmen!$S$45</f>
        <v>250</v>
      </c>
      <c r="M51" s="91">
        <f>Annahmen!$S$45</f>
        <v>250</v>
      </c>
      <c r="N51" s="91">
        <f>Annahmen!$S$45</f>
        <v>250</v>
      </c>
      <c r="O51" s="91">
        <f>Annahmen!$S$45</f>
        <v>250</v>
      </c>
      <c r="P51" s="91">
        <f>Annahmen!$S$45</f>
        <v>250</v>
      </c>
      <c r="Q51" s="91">
        <f>Annahmen!$S$45</f>
        <v>250</v>
      </c>
      <c r="R51" s="91">
        <f>Annahmen!$S$45</f>
        <v>250</v>
      </c>
      <c r="S51" s="91">
        <f>Annahmen!$S$45</f>
        <v>250</v>
      </c>
      <c r="T51" s="91">
        <f>Annahmen!$S$45</f>
        <v>250</v>
      </c>
      <c r="U51" s="91">
        <f>Annahmen!$S$45</f>
        <v>250</v>
      </c>
      <c r="V51" s="91">
        <f>Annahmen!$S$45</f>
        <v>250</v>
      </c>
      <c r="W51" s="91">
        <f>Annahmen!$S$45</f>
        <v>250</v>
      </c>
    </row>
    <row r="52" ht="15.75" customHeight="1">
      <c r="C52" s="8" t="str">
        <f>Annahmen!Q46</f>
        <v>Provision Lieferando</v>
      </c>
      <c r="E52" s="91">
        <f>E14*Annahmen!$S$46</f>
        <v>775.9345794</v>
      </c>
      <c r="F52" s="91">
        <f>F14*Annahmen!$S$46</f>
        <v>1163.901869</v>
      </c>
      <c r="G52" s="91">
        <f>G14*Annahmen!$S$46</f>
        <v>1551.869159</v>
      </c>
      <c r="H52" s="91">
        <f>H14*Annahmen!$S$46</f>
        <v>1551.869159</v>
      </c>
      <c r="I52" s="91">
        <f>I14*Annahmen!$S$46</f>
        <v>1551.869159</v>
      </c>
      <c r="J52" s="91">
        <f>J14*Annahmen!$S$46</f>
        <v>1551.869159</v>
      </c>
      <c r="K52" s="91">
        <f>K14*Annahmen!$S$46</f>
        <v>1551.869159</v>
      </c>
      <c r="L52" s="91">
        <f>L14*Annahmen!$S$46</f>
        <v>1551.869159</v>
      </c>
      <c r="M52" s="91">
        <f>M14*Annahmen!$S$46</f>
        <v>1551.869159</v>
      </c>
      <c r="N52" s="91">
        <f>N14*Annahmen!$S$46</f>
        <v>1551.869159</v>
      </c>
      <c r="O52" s="91">
        <f>O14*Annahmen!$S$46</f>
        <v>1551.869159</v>
      </c>
      <c r="P52" s="91">
        <f>P14*Annahmen!$S$46</f>
        <v>1551.869159</v>
      </c>
      <c r="Q52" s="91">
        <f>Q14*Annahmen!$S$46</f>
        <v>1551.869159</v>
      </c>
      <c r="R52" s="91">
        <f>R14*Annahmen!$S$46</f>
        <v>1551.869159</v>
      </c>
      <c r="S52" s="91">
        <f>S14*Annahmen!$S$46</f>
        <v>1551.869159</v>
      </c>
      <c r="T52" s="91">
        <f>T14*Annahmen!$S$46</f>
        <v>1551.869159</v>
      </c>
      <c r="U52" s="91">
        <f>U14*Annahmen!$S$46</f>
        <v>1551.869159</v>
      </c>
      <c r="V52" s="91">
        <f>V14*Annahmen!$S$46</f>
        <v>1551.869159</v>
      </c>
      <c r="W52" s="91">
        <f>W14*Annahmen!$S$46</f>
        <v>1551.869159</v>
      </c>
    </row>
    <row r="53" ht="15.75" customHeight="1">
      <c r="C53" s="8" t="str">
        <f>Annahmen!Q47</f>
        <v>Provision sonstige Portale</v>
      </c>
      <c r="E53" s="91">
        <f>E15*Annahmen!$S$47</f>
        <v>64.66121495</v>
      </c>
      <c r="F53" s="91">
        <f>F15*Annahmen!$S$47</f>
        <v>96.99182243</v>
      </c>
      <c r="G53" s="91">
        <f>G15*Annahmen!$S$47</f>
        <v>129.3224299</v>
      </c>
      <c r="H53" s="91">
        <f>H15*Annahmen!$S$47</f>
        <v>129.3224299</v>
      </c>
      <c r="I53" s="91">
        <f>I15*Annahmen!$S$47</f>
        <v>129.3224299</v>
      </c>
      <c r="J53" s="91">
        <f>J15*Annahmen!$S$47</f>
        <v>129.3224299</v>
      </c>
      <c r="K53" s="91">
        <f>K15*Annahmen!$S$47</f>
        <v>129.3224299</v>
      </c>
      <c r="L53" s="91">
        <f>L15*Annahmen!$S$47</f>
        <v>129.3224299</v>
      </c>
      <c r="M53" s="91">
        <f>M15*Annahmen!$S$47</f>
        <v>129.3224299</v>
      </c>
      <c r="N53" s="91">
        <f>N15*Annahmen!$S$47</f>
        <v>129.3224299</v>
      </c>
      <c r="O53" s="91">
        <f>O15*Annahmen!$S$47</f>
        <v>129.3224299</v>
      </c>
      <c r="P53" s="91">
        <f>P15*Annahmen!$S$47</f>
        <v>129.3224299</v>
      </c>
      <c r="Q53" s="91">
        <f>Q15*Annahmen!$S$47</f>
        <v>129.3224299</v>
      </c>
      <c r="R53" s="91">
        <f>R15*Annahmen!$S$47</f>
        <v>129.3224299</v>
      </c>
      <c r="S53" s="91">
        <f>S15*Annahmen!$S$47</f>
        <v>129.3224299</v>
      </c>
      <c r="T53" s="91">
        <f>T15*Annahmen!$S$47</f>
        <v>129.3224299</v>
      </c>
      <c r="U53" s="91">
        <f>U15*Annahmen!$S$47</f>
        <v>129.3224299</v>
      </c>
      <c r="V53" s="91">
        <f>V15*Annahmen!$S$47</f>
        <v>129.3224299</v>
      </c>
      <c r="W53" s="91">
        <f>W15*Annahmen!$S$47</f>
        <v>129.3224299</v>
      </c>
    </row>
    <row r="54" ht="15.75" customHeight="1">
      <c r="C54" s="8" t="str">
        <f>Annahmen!Q48</f>
        <v>Kosten eigene Webseite</v>
      </c>
      <c r="E54" s="91">
        <f>Annahmen!$S$48</f>
        <v>100</v>
      </c>
      <c r="F54" s="91">
        <f>Annahmen!$S$48</f>
        <v>100</v>
      </c>
      <c r="G54" s="91">
        <f>Annahmen!$S$48</f>
        <v>100</v>
      </c>
      <c r="H54" s="91">
        <f>Annahmen!$S$48</f>
        <v>100</v>
      </c>
      <c r="I54" s="91">
        <f>Annahmen!$S$48</f>
        <v>100</v>
      </c>
      <c r="J54" s="91">
        <f>Annahmen!$S$48</f>
        <v>100</v>
      </c>
      <c r="K54" s="91">
        <f>Annahmen!$S$48</f>
        <v>100</v>
      </c>
      <c r="L54" s="91">
        <f>Annahmen!$S$48</f>
        <v>100</v>
      </c>
      <c r="M54" s="91">
        <f>Annahmen!$S$48</f>
        <v>100</v>
      </c>
      <c r="N54" s="91">
        <f>Annahmen!$S$48</f>
        <v>100</v>
      </c>
      <c r="O54" s="91">
        <f>Annahmen!$S$48</f>
        <v>100</v>
      </c>
      <c r="P54" s="91">
        <f>Annahmen!$S$48</f>
        <v>100</v>
      </c>
      <c r="Q54" s="91">
        <f>Annahmen!$S$48</f>
        <v>100</v>
      </c>
      <c r="R54" s="91">
        <f>Annahmen!$S$48</f>
        <v>100</v>
      </c>
      <c r="S54" s="91">
        <f>Annahmen!$S$48</f>
        <v>100</v>
      </c>
      <c r="T54" s="91">
        <f>Annahmen!$S$48</f>
        <v>100</v>
      </c>
      <c r="U54" s="91">
        <f>Annahmen!$S$48</f>
        <v>100</v>
      </c>
      <c r="V54" s="91">
        <f>Annahmen!$S$48</f>
        <v>100</v>
      </c>
      <c r="W54" s="91">
        <f>Annahmen!$S$48</f>
        <v>100</v>
      </c>
    </row>
    <row r="55" ht="15.75" customHeight="1">
      <c r="C55" s="8" t="str">
        <f>Annahmen!Q49</f>
        <v>Kosten eigene App</v>
      </c>
      <c r="E55" s="91">
        <f>Annahmen!$S$49</f>
        <v>150</v>
      </c>
      <c r="F55" s="91">
        <f>Annahmen!$S$49</f>
        <v>150</v>
      </c>
      <c r="G55" s="91">
        <f>Annahmen!$S$49</f>
        <v>150</v>
      </c>
      <c r="H55" s="91">
        <f>Annahmen!$S$49</f>
        <v>150</v>
      </c>
      <c r="I55" s="91">
        <f>Annahmen!$S$49</f>
        <v>150</v>
      </c>
      <c r="J55" s="91">
        <f>Annahmen!$S$49</f>
        <v>150</v>
      </c>
      <c r="K55" s="91">
        <f>Annahmen!$S$49</f>
        <v>150</v>
      </c>
      <c r="L55" s="91">
        <f>Annahmen!$S$49</f>
        <v>150</v>
      </c>
      <c r="M55" s="91">
        <f>Annahmen!$S$49</f>
        <v>150</v>
      </c>
      <c r="N55" s="91">
        <f>Annahmen!$S$49</f>
        <v>150</v>
      </c>
      <c r="O55" s="91">
        <f>Annahmen!$S$49</f>
        <v>150</v>
      </c>
      <c r="P55" s="91">
        <f>Annahmen!$S$49</f>
        <v>150</v>
      </c>
      <c r="Q55" s="91">
        <f>Annahmen!$S$49</f>
        <v>150</v>
      </c>
      <c r="R55" s="91">
        <f>Annahmen!$S$49</f>
        <v>150</v>
      </c>
      <c r="S55" s="91">
        <f>Annahmen!$S$49</f>
        <v>150</v>
      </c>
      <c r="T55" s="91">
        <f>Annahmen!$S$49</f>
        <v>150</v>
      </c>
      <c r="U55" s="91">
        <f>Annahmen!$S$49</f>
        <v>150</v>
      </c>
      <c r="V55" s="91">
        <f>Annahmen!$S$49</f>
        <v>150</v>
      </c>
      <c r="W55" s="91">
        <f>Annahmen!$S$49</f>
        <v>150</v>
      </c>
    </row>
    <row r="56" ht="15.75" customHeight="1">
      <c r="C56" s="8" t="s">
        <v>179</v>
      </c>
      <c r="E56" s="91">
        <f>SUM(E12:E15)*Annahmen!$S$51/Annahmen!$O$43*Annahmen!$S$50</f>
        <v>142.59375</v>
      </c>
      <c r="F56" s="91">
        <f>SUM(F12:F15)*Annahmen!$S$51/Annahmen!$O$43*Annahmen!$S$50</f>
        <v>213.890625</v>
      </c>
      <c r="G56" s="91">
        <f>SUM(G12:G15)*Annahmen!$S$51/Annahmen!$O$43*Annahmen!$S$50</f>
        <v>285.1875</v>
      </c>
      <c r="H56" s="91">
        <f>SUM(H12:H15)*Annahmen!$S$51/Annahmen!$O$43*Annahmen!$S$50</f>
        <v>285.1875</v>
      </c>
      <c r="I56" s="91">
        <f>SUM(I12:I15)*Annahmen!$S$51/Annahmen!$O$43*Annahmen!$S$50</f>
        <v>285.1875</v>
      </c>
      <c r="J56" s="91">
        <f>SUM(J12:J15)*Annahmen!$S$51/Annahmen!$O$43*Annahmen!$S$50</f>
        <v>285.1875</v>
      </c>
      <c r="K56" s="91">
        <f>SUM(K12:K15)*Annahmen!$S$51/Annahmen!$O$43*Annahmen!$S$50</f>
        <v>285.1875</v>
      </c>
      <c r="L56" s="91">
        <f>SUM(L12:L15)*Annahmen!$S$51/Annahmen!$O$43*Annahmen!$S$50</f>
        <v>285.1875</v>
      </c>
      <c r="M56" s="91">
        <f>SUM(M12:M15)*Annahmen!$S$51/Annahmen!$O$43*Annahmen!$S$50</f>
        <v>285.1875</v>
      </c>
      <c r="N56" s="91">
        <f>SUM(N12:N15)*Annahmen!$S$51/Annahmen!$O$43*Annahmen!$S$50</f>
        <v>285.1875</v>
      </c>
      <c r="O56" s="91">
        <f>SUM(O12:O15)*Annahmen!$S$51/Annahmen!$O$43*Annahmen!$S$50</f>
        <v>285.1875</v>
      </c>
      <c r="P56" s="91">
        <f>SUM(P12:P15)*Annahmen!$S$51/Annahmen!$O$43*Annahmen!$S$50</f>
        <v>285.1875</v>
      </c>
      <c r="Q56" s="91">
        <f>SUM(Q12:Q15)*Annahmen!$S$51/Annahmen!$O$43*Annahmen!$S$50</f>
        <v>285.1875</v>
      </c>
      <c r="R56" s="91">
        <f>SUM(R12:R15)*Annahmen!$S$51/Annahmen!$O$43*Annahmen!$S$50</f>
        <v>285.1875</v>
      </c>
      <c r="S56" s="91">
        <f>SUM(S12:S15)*Annahmen!$S$51/Annahmen!$O$43*Annahmen!$S$50</f>
        <v>285.1875</v>
      </c>
      <c r="T56" s="91">
        <f>SUM(T12:T15)*Annahmen!$S$51/Annahmen!$O$43*Annahmen!$S$50</f>
        <v>285.1875</v>
      </c>
      <c r="U56" s="91">
        <f>SUM(U12:U15)*Annahmen!$S$51/Annahmen!$O$43*Annahmen!$S$50</f>
        <v>285.1875</v>
      </c>
      <c r="V56" s="91">
        <f>SUM(V12:V15)*Annahmen!$S$51/Annahmen!$O$43*Annahmen!$S$50</f>
        <v>285.1875</v>
      </c>
      <c r="W56" s="91">
        <f>SUM(W12:W15)*Annahmen!$S$51/Annahmen!$O$43*Annahmen!$S$50</f>
        <v>285.1875</v>
      </c>
    </row>
    <row r="57" ht="15.75" customHeight="1">
      <c r="C57" s="8" t="str">
        <f>Annahmen!Q55</f>
        <v>Verpackung</v>
      </c>
      <c r="E57" s="91">
        <f>E24*Annahmen!$S$55</f>
        <v>594.437878</v>
      </c>
      <c r="F57" s="91">
        <f>F24*Annahmen!$S$55</f>
        <v>788.4215228</v>
      </c>
      <c r="G57" s="91">
        <f>G24*Annahmen!$S$55</f>
        <v>982.4051677</v>
      </c>
      <c r="H57" s="91">
        <f>H24*Annahmen!$S$55</f>
        <v>982.4051677</v>
      </c>
      <c r="I57" s="91">
        <f>I24*Annahmen!$S$55</f>
        <v>982.4051677</v>
      </c>
      <c r="J57" s="91">
        <f>J24*Annahmen!$S$55</f>
        <v>982.4051677</v>
      </c>
      <c r="K57" s="91">
        <f>K24*Annahmen!$S$55</f>
        <v>982.4051677</v>
      </c>
      <c r="L57" s="91">
        <f>L24*Annahmen!$S$55</f>
        <v>982.4051677</v>
      </c>
      <c r="M57" s="91">
        <f>M24*Annahmen!$S$55</f>
        <v>982.4051677</v>
      </c>
      <c r="N57" s="91">
        <f>N24*Annahmen!$S$55</f>
        <v>982.4051677</v>
      </c>
      <c r="O57" s="91">
        <f>O24*Annahmen!$S$55</f>
        <v>982.4051677</v>
      </c>
      <c r="P57" s="91">
        <f>P24*Annahmen!$S$55</f>
        <v>982.4051677</v>
      </c>
      <c r="Q57" s="91">
        <f>Q24*Annahmen!$S$55</f>
        <v>982.4051677</v>
      </c>
      <c r="R57" s="91">
        <f>R24*Annahmen!$S$55</f>
        <v>982.4051677</v>
      </c>
      <c r="S57" s="91">
        <f>S24*Annahmen!$S$55</f>
        <v>982.4051677</v>
      </c>
      <c r="T57" s="91">
        <f>T24*Annahmen!$S$55</f>
        <v>982.4051677</v>
      </c>
      <c r="U57" s="91">
        <f>U24*Annahmen!$S$55</f>
        <v>982.4051677</v>
      </c>
      <c r="V57" s="91">
        <f>V24*Annahmen!$S$55</f>
        <v>982.4051677</v>
      </c>
      <c r="W57" s="91">
        <f>W24*Annahmen!$S$55</f>
        <v>982.4051677</v>
      </c>
    </row>
    <row r="58" ht="15.75" customHeight="1">
      <c r="C58" s="8" t="str">
        <f>Annahmen!Q56</f>
        <v>Unvorhersehbare</v>
      </c>
      <c r="E58" s="91">
        <f>E24*Annahmen!$S$56</f>
        <v>990.7297966</v>
      </c>
      <c r="F58" s="91">
        <f>F24*Annahmen!$S$56</f>
        <v>1314.035871</v>
      </c>
      <c r="G58" s="91">
        <f>G24*Annahmen!$S$56</f>
        <v>1637.341946</v>
      </c>
      <c r="H58" s="91">
        <f>H24*Annahmen!$S$56</f>
        <v>1637.341946</v>
      </c>
      <c r="I58" s="91">
        <f>I24*Annahmen!$S$56</f>
        <v>1637.341946</v>
      </c>
      <c r="J58" s="91">
        <f>J24*Annahmen!$S$56</f>
        <v>1637.341946</v>
      </c>
      <c r="K58" s="91">
        <f>K24*Annahmen!$S$56</f>
        <v>1637.341946</v>
      </c>
      <c r="L58" s="91">
        <f>L24*Annahmen!$S$56</f>
        <v>1637.341946</v>
      </c>
      <c r="M58" s="91">
        <f>M24*Annahmen!$S$56</f>
        <v>1637.341946</v>
      </c>
      <c r="N58" s="91">
        <f>N24*Annahmen!$S$56</f>
        <v>1637.341946</v>
      </c>
      <c r="O58" s="91">
        <f>O24*Annahmen!$S$56</f>
        <v>1637.341946</v>
      </c>
      <c r="P58" s="91">
        <f>P24*Annahmen!$S$56</f>
        <v>1637.341946</v>
      </c>
      <c r="Q58" s="91">
        <f>Q24*Annahmen!$S$56</f>
        <v>1637.341946</v>
      </c>
      <c r="R58" s="91">
        <f>R24*Annahmen!$S$56</f>
        <v>1637.341946</v>
      </c>
      <c r="S58" s="91">
        <f>S24*Annahmen!$S$56</f>
        <v>1637.341946</v>
      </c>
      <c r="T58" s="91">
        <f>T24*Annahmen!$S$56</f>
        <v>1637.341946</v>
      </c>
      <c r="U58" s="91">
        <f>U24*Annahmen!$S$56</f>
        <v>1637.341946</v>
      </c>
      <c r="V58" s="91">
        <f>V24*Annahmen!$S$56</f>
        <v>1637.341946</v>
      </c>
      <c r="W58" s="91">
        <f>W24*Annahmen!$S$56</f>
        <v>1637.341946</v>
      </c>
    </row>
    <row r="59" ht="15.75" customHeight="1"/>
    <row r="60" ht="15.75" customHeight="1">
      <c r="C60" s="87" t="s">
        <v>180</v>
      </c>
      <c r="D60" s="87"/>
      <c r="E60" s="93">
        <f t="shared" ref="E60:W60" si="4">SUM(E29:E58)</f>
        <v>25423.5076</v>
      </c>
      <c r="F60" s="93">
        <f t="shared" si="4"/>
        <v>25614.12672</v>
      </c>
      <c r="G60" s="93">
        <f t="shared" si="4"/>
        <v>28304.2028</v>
      </c>
      <c r="H60" s="93">
        <f t="shared" si="4"/>
        <v>28304.2028</v>
      </c>
      <c r="I60" s="93">
        <f t="shared" si="4"/>
        <v>28304.2028</v>
      </c>
      <c r="J60" s="93">
        <f t="shared" si="4"/>
        <v>28304.2028</v>
      </c>
      <c r="K60" s="93">
        <f t="shared" si="4"/>
        <v>28304.2028</v>
      </c>
      <c r="L60" s="93">
        <f t="shared" si="4"/>
        <v>28304.2028</v>
      </c>
      <c r="M60" s="93">
        <f t="shared" si="4"/>
        <v>28304.2028</v>
      </c>
      <c r="N60" s="93">
        <f t="shared" si="4"/>
        <v>28304.2028</v>
      </c>
      <c r="O60" s="93">
        <f t="shared" si="4"/>
        <v>28304.2028</v>
      </c>
      <c r="P60" s="93">
        <f t="shared" si="4"/>
        <v>28304.2028</v>
      </c>
      <c r="Q60" s="93">
        <f t="shared" si="4"/>
        <v>28304.2028</v>
      </c>
      <c r="R60" s="93">
        <f t="shared" si="4"/>
        <v>28304.2028</v>
      </c>
      <c r="S60" s="93">
        <f t="shared" si="4"/>
        <v>28304.2028</v>
      </c>
      <c r="T60" s="93">
        <f t="shared" si="4"/>
        <v>28304.2028</v>
      </c>
      <c r="U60" s="93">
        <f t="shared" si="4"/>
        <v>28304.2028</v>
      </c>
      <c r="V60" s="93">
        <f t="shared" si="4"/>
        <v>28304.2028</v>
      </c>
      <c r="W60" s="94">
        <f t="shared" si="4"/>
        <v>28304.2028</v>
      </c>
    </row>
    <row r="61" ht="15.75" customHeight="1"/>
    <row r="62" ht="15.75" customHeight="1">
      <c r="B62" s="84" t="s">
        <v>181</v>
      </c>
    </row>
    <row r="63" ht="15.75" customHeight="1">
      <c r="C63" s="8" t="str">
        <f>Annahmen!B36</f>
        <v>Küche</v>
      </c>
      <c r="E63" s="95">
        <f>Annahmen!$D$36</f>
        <v>0</v>
      </c>
      <c r="F63" s="95">
        <f>Annahmen!$D$36</f>
        <v>0</v>
      </c>
      <c r="G63" s="95">
        <f>Annahmen!$D$36</f>
        <v>0</v>
      </c>
      <c r="H63" s="95">
        <f>Annahmen!$D$36</f>
        <v>0</v>
      </c>
      <c r="I63" s="95">
        <f>Annahmen!$D$36</f>
        <v>0</v>
      </c>
      <c r="J63" s="95">
        <f>Annahmen!$D$36</f>
        <v>0</v>
      </c>
      <c r="K63" s="95">
        <f>Annahmen!$D$36</f>
        <v>0</v>
      </c>
      <c r="L63" s="95">
        <f>Annahmen!$D$36</f>
        <v>0</v>
      </c>
      <c r="M63" s="95">
        <f>Annahmen!$D$36</f>
        <v>0</v>
      </c>
      <c r="N63" s="95">
        <f>Annahmen!$D$36</f>
        <v>0</v>
      </c>
      <c r="O63" s="95">
        <f>Annahmen!$D$36</f>
        <v>0</v>
      </c>
      <c r="P63" s="95">
        <f>Annahmen!$D$36</f>
        <v>0</v>
      </c>
      <c r="Q63" s="95">
        <f>Annahmen!$D$36</f>
        <v>0</v>
      </c>
      <c r="R63" s="95">
        <f>Annahmen!$D$36</f>
        <v>0</v>
      </c>
      <c r="S63" s="95">
        <f>Annahmen!$D$36</f>
        <v>0</v>
      </c>
      <c r="T63" s="95">
        <f>Annahmen!$D$36</f>
        <v>0</v>
      </c>
      <c r="U63" s="95">
        <f>Annahmen!$D$36</f>
        <v>0</v>
      </c>
      <c r="V63" s="95">
        <f>Annahmen!$D$36</f>
        <v>0</v>
      </c>
      <c r="W63" s="95">
        <f>Annahmen!$D$36</f>
        <v>0</v>
      </c>
    </row>
    <row r="64" ht="15.75" customHeight="1">
      <c r="C64" s="8" t="str">
        <f>Annahmen!B37</f>
        <v>Möbel</v>
      </c>
      <c r="E64" s="95">
        <f>Annahmen!$D$37</f>
        <v>0</v>
      </c>
      <c r="F64" s="95">
        <f>Annahmen!$D$37</f>
        <v>0</v>
      </c>
      <c r="G64" s="95">
        <f>Annahmen!$D$37</f>
        <v>0</v>
      </c>
      <c r="H64" s="95">
        <f>Annahmen!$D$37</f>
        <v>0</v>
      </c>
      <c r="I64" s="95">
        <f>Annahmen!$D$37</f>
        <v>0</v>
      </c>
      <c r="J64" s="95">
        <f>Annahmen!$D$37</f>
        <v>0</v>
      </c>
      <c r="K64" s="95">
        <f>Annahmen!$D$37</f>
        <v>0</v>
      </c>
      <c r="L64" s="95">
        <f>Annahmen!$D$37</f>
        <v>0</v>
      </c>
      <c r="M64" s="95">
        <f>Annahmen!$D$37</f>
        <v>0</v>
      </c>
      <c r="N64" s="95">
        <f>Annahmen!$D$37</f>
        <v>0</v>
      </c>
      <c r="O64" s="95">
        <f>Annahmen!$D$37</f>
        <v>0</v>
      </c>
      <c r="P64" s="95">
        <f>Annahmen!$D$37</f>
        <v>0</v>
      </c>
      <c r="Q64" s="95">
        <f>Annahmen!$D$37</f>
        <v>0</v>
      </c>
      <c r="R64" s="95">
        <f>Annahmen!$D$37</f>
        <v>0</v>
      </c>
      <c r="S64" s="95">
        <f>Annahmen!$D$37</f>
        <v>0</v>
      </c>
      <c r="T64" s="95">
        <f>Annahmen!$D$37</f>
        <v>0</v>
      </c>
      <c r="U64" s="95">
        <f>Annahmen!$D$37</f>
        <v>0</v>
      </c>
      <c r="V64" s="95">
        <f>Annahmen!$D$37</f>
        <v>0</v>
      </c>
      <c r="W64" s="95">
        <f>Annahmen!$D$37</f>
        <v>0</v>
      </c>
    </row>
    <row r="65" ht="15.75" customHeight="1">
      <c r="C65" s="8" t="str">
        <f>Annahmen!B38</f>
        <v>Autos</v>
      </c>
      <c r="E65" s="95">
        <f>Annahmen!$D$38</f>
        <v>300</v>
      </c>
      <c r="F65" s="95">
        <f>Annahmen!$D$38</f>
        <v>300</v>
      </c>
      <c r="G65" s="95">
        <f>Annahmen!$D$38</f>
        <v>300</v>
      </c>
      <c r="H65" s="95">
        <f>Annahmen!$D$38</f>
        <v>300</v>
      </c>
      <c r="I65" s="95">
        <f>Annahmen!$D$38</f>
        <v>300</v>
      </c>
      <c r="J65" s="95">
        <f>Annahmen!$D$38</f>
        <v>300</v>
      </c>
      <c r="K65" s="95">
        <f>Annahmen!$D$38</f>
        <v>300</v>
      </c>
      <c r="L65" s="95">
        <f>Annahmen!$D$38</f>
        <v>300</v>
      </c>
      <c r="M65" s="95">
        <f>Annahmen!$D$38</f>
        <v>300</v>
      </c>
      <c r="N65" s="95">
        <f>Annahmen!$D$38</f>
        <v>300</v>
      </c>
      <c r="O65" s="95">
        <f>Annahmen!$D$38</f>
        <v>300</v>
      </c>
      <c r="P65" s="95">
        <f>Annahmen!$D$38</f>
        <v>300</v>
      </c>
      <c r="Q65" s="95">
        <f>Annahmen!$D$38</f>
        <v>300</v>
      </c>
      <c r="R65" s="95">
        <f>Annahmen!$D$38</f>
        <v>300</v>
      </c>
      <c r="S65" s="95">
        <f>Annahmen!$D$38</f>
        <v>300</v>
      </c>
      <c r="T65" s="95">
        <f>Annahmen!$D$38</f>
        <v>300</v>
      </c>
      <c r="U65" s="95">
        <f>Annahmen!$D$38</f>
        <v>300</v>
      </c>
      <c r="V65" s="95">
        <f>Annahmen!$D$38</f>
        <v>300</v>
      </c>
      <c r="W65" s="95">
        <f>Annahmen!$D$38</f>
        <v>300</v>
      </c>
    </row>
    <row r="66" ht="15.75" customHeight="1">
      <c r="C66" s="8" t="str">
        <f>Annahmen!B39</f>
        <v>Weiteres</v>
      </c>
      <c r="E66" s="95">
        <f>Annahmen!$D$39</f>
        <v>0</v>
      </c>
      <c r="F66" s="95">
        <f>Annahmen!$D$39</f>
        <v>0</v>
      </c>
      <c r="G66" s="95">
        <f>Annahmen!$D$39</f>
        <v>0</v>
      </c>
      <c r="H66" s="95">
        <f>Annahmen!$D$39</f>
        <v>0</v>
      </c>
      <c r="I66" s="95">
        <f>Annahmen!$D$39</f>
        <v>0</v>
      </c>
      <c r="J66" s="95">
        <f>Annahmen!$D$39</f>
        <v>0</v>
      </c>
      <c r="K66" s="95">
        <f>Annahmen!$D$39</f>
        <v>0</v>
      </c>
      <c r="L66" s="95">
        <f>Annahmen!$D$39</f>
        <v>0</v>
      </c>
      <c r="M66" s="95">
        <f>Annahmen!$D$39</f>
        <v>0</v>
      </c>
      <c r="N66" s="95">
        <f>Annahmen!$D$39</f>
        <v>0</v>
      </c>
      <c r="O66" s="95">
        <f>Annahmen!$D$39</f>
        <v>0</v>
      </c>
      <c r="P66" s="95">
        <f>Annahmen!$D$39</f>
        <v>0</v>
      </c>
      <c r="Q66" s="95">
        <f>Annahmen!$D$39</f>
        <v>0</v>
      </c>
      <c r="R66" s="95">
        <f>Annahmen!$D$39</f>
        <v>0</v>
      </c>
      <c r="S66" s="95">
        <f>Annahmen!$D$39</f>
        <v>0</v>
      </c>
      <c r="T66" s="95">
        <f>Annahmen!$D$39</f>
        <v>0</v>
      </c>
      <c r="U66" s="95">
        <f>Annahmen!$D$39</f>
        <v>0</v>
      </c>
      <c r="V66" s="95">
        <f>Annahmen!$D$39</f>
        <v>0</v>
      </c>
      <c r="W66" s="95">
        <f>Annahmen!$D$39</f>
        <v>0</v>
      </c>
    </row>
    <row r="67" ht="15.75" customHeight="1"/>
    <row r="68" ht="15.75" customHeight="1">
      <c r="A68" s="81"/>
      <c r="B68" s="81"/>
      <c r="C68" s="96" t="s">
        <v>182</v>
      </c>
      <c r="D68" s="97"/>
      <c r="E68" s="98">
        <f t="shared" ref="E68:W68" si="5">E24-E60-SUM(E63:E66)</f>
        <v>-5908.911664</v>
      </c>
      <c r="F68" s="98">
        <f t="shared" si="5"/>
        <v>366.5907103</v>
      </c>
      <c r="G68" s="98">
        <f t="shared" si="5"/>
        <v>4142.636125</v>
      </c>
      <c r="H68" s="98">
        <f t="shared" si="5"/>
        <v>4142.636125</v>
      </c>
      <c r="I68" s="98">
        <f t="shared" si="5"/>
        <v>4142.636125</v>
      </c>
      <c r="J68" s="98">
        <f t="shared" si="5"/>
        <v>4142.636125</v>
      </c>
      <c r="K68" s="98">
        <f t="shared" si="5"/>
        <v>4142.636125</v>
      </c>
      <c r="L68" s="98">
        <f t="shared" si="5"/>
        <v>4142.636125</v>
      </c>
      <c r="M68" s="98">
        <f t="shared" si="5"/>
        <v>4142.636125</v>
      </c>
      <c r="N68" s="98">
        <f t="shared" si="5"/>
        <v>4142.636125</v>
      </c>
      <c r="O68" s="98">
        <f t="shared" si="5"/>
        <v>4142.636125</v>
      </c>
      <c r="P68" s="98">
        <f t="shared" si="5"/>
        <v>4142.636125</v>
      </c>
      <c r="Q68" s="98">
        <f t="shared" si="5"/>
        <v>4142.636125</v>
      </c>
      <c r="R68" s="98">
        <f t="shared" si="5"/>
        <v>4142.636125</v>
      </c>
      <c r="S68" s="98">
        <f t="shared" si="5"/>
        <v>4142.636125</v>
      </c>
      <c r="T68" s="98">
        <f t="shared" si="5"/>
        <v>4142.636125</v>
      </c>
      <c r="U68" s="98">
        <f t="shared" si="5"/>
        <v>4142.636125</v>
      </c>
      <c r="V68" s="98">
        <f t="shared" si="5"/>
        <v>4142.636125</v>
      </c>
      <c r="W68" s="99">
        <f t="shared" si="5"/>
        <v>4142.636125</v>
      </c>
      <c r="X68" s="81"/>
      <c r="Y68" s="81"/>
      <c r="Z68" s="81"/>
      <c r="AA68" s="81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>
      <c r="C133" s="80" t="s">
        <v>183</v>
      </c>
    </row>
    <row r="134" ht="15.75" customHeight="1"/>
    <row r="135" ht="15.75" customHeight="1">
      <c r="E135" s="82">
        <f>Annahmen!H17</f>
        <v>44105</v>
      </c>
      <c r="F135" s="82">
        <f t="shared" ref="F135:W135" si="6">EOMONTH(E135,0)+1</f>
        <v>44136</v>
      </c>
      <c r="G135" s="82">
        <f t="shared" si="6"/>
        <v>44166</v>
      </c>
      <c r="H135" s="82">
        <f t="shared" si="6"/>
        <v>44197</v>
      </c>
      <c r="I135" s="82">
        <f t="shared" si="6"/>
        <v>44228</v>
      </c>
      <c r="J135" s="82">
        <f t="shared" si="6"/>
        <v>44256</v>
      </c>
      <c r="K135" s="82">
        <f t="shared" si="6"/>
        <v>44287</v>
      </c>
      <c r="L135" s="82">
        <f t="shared" si="6"/>
        <v>44317</v>
      </c>
      <c r="M135" s="82">
        <f t="shared" si="6"/>
        <v>44348</v>
      </c>
      <c r="N135" s="82">
        <f t="shared" si="6"/>
        <v>44378</v>
      </c>
      <c r="O135" s="82">
        <f t="shared" si="6"/>
        <v>44409</v>
      </c>
      <c r="P135" s="82">
        <f t="shared" si="6"/>
        <v>44440</v>
      </c>
      <c r="Q135" s="82">
        <f t="shared" si="6"/>
        <v>44470</v>
      </c>
      <c r="R135" s="82">
        <f t="shared" si="6"/>
        <v>44501</v>
      </c>
      <c r="S135" s="82">
        <f t="shared" si="6"/>
        <v>44531</v>
      </c>
      <c r="T135" s="82">
        <f t="shared" si="6"/>
        <v>44562</v>
      </c>
      <c r="U135" s="82">
        <f t="shared" si="6"/>
        <v>44593</v>
      </c>
      <c r="V135" s="82">
        <f t="shared" si="6"/>
        <v>44621</v>
      </c>
      <c r="W135" s="82">
        <f t="shared" si="6"/>
        <v>44652</v>
      </c>
      <c r="X135" s="82"/>
      <c r="Y135" s="82"/>
      <c r="Z135" s="82"/>
      <c r="AA135" s="82"/>
    </row>
    <row r="136" ht="15.75" customHeight="1"/>
    <row r="137" ht="15.75" customHeight="1">
      <c r="C137" s="84" t="str">
        <f>Annahmen!B16</f>
        <v>Investitionen Übernahme / Neustart</v>
      </c>
    </row>
    <row r="138" ht="15.75" customHeight="1"/>
    <row r="139" ht="15.75" customHeight="1">
      <c r="D139" s="8" t="s">
        <v>184</v>
      </c>
      <c r="E139" s="91">
        <f>IF(Annahmen!$C$21&gt;0,Annahmen!$C$18/Annahmen!$C$21,0)</f>
        <v>2500</v>
      </c>
      <c r="F139" s="91">
        <f>IF(E139=0,"",IF($E$139&lt;Annahmen!$C$18,Annahmen!$C$18/Annahmen!$C$21,""))</f>
        <v>2500</v>
      </c>
      <c r="G139" s="91">
        <f>IF(F139=0,"",IF(SUM($E$139:F139)&lt;Annahmen!$C$18,Annahmen!$C$18/Annahmen!$C$21,""))</f>
        <v>2500</v>
      </c>
      <c r="H139" s="91">
        <f>IF(G139=0,"",IF(SUM($E$139:G139)&lt;Annahmen!$C$18,Annahmen!$C$18/Annahmen!$C$21,""))</f>
        <v>2500</v>
      </c>
      <c r="I139" s="91" t="str">
        <f>IF(H139=0,"",IF(SUM($E$139:H139)&lt;Annahmen!$C$18,Annahmen!$C$18/Annahmen!$C$21,""))</f>
        <v/>
      </c>
      <c r="J139" s="91" t="str">
        <f>IF(I139=0,"",IF(SUM($E$139:I139)&lt;Annahmen!$C$18,Annahmen!$C$18/Annahmen!$C$21,""))</f>
        <v/>
      </c>
      <c r="K139" s="91" t="str">
        <f>IF(J139=0,"",IF(SUM($E$139:J139)&lt;Annahmen!$C$18,Annahmen!$C$18/Annahmen!$C$21,""))</f>
        <v/>
      </c>
      <c r="L139" s="91" t="str">
        <f>IF(K139=0,"",IF(SUM($E$139:K139)&lt;Annahmen!$C$18,Annahmen!$C$18/Annahmen!$C$21,""))</f>
        <v/>
      </c>
      <c r="M139" s="91" t="str">
        <f>IF(L139=0,"",IF(SUM($E$139:L139)&lt;Annahmen!$C$18,Annahmen!$C$18/Annahmen!$C$21,""))</f>
        <v/>
      </c>
      <c r="N139" s="91" t="str">
        <f>IF(M139=0,"",IF(SUM($E$139:M139)&lt;Annahmen!$C$18,Annahmen!$C$18/Annahmen!$C$21,""))</f>
        <v/>
      </c>
      <c r="O139" s="91" t="str">
        <f>IF(N139=0,"",IF(SUM($E$139:N139)&lt;Annahmen!$C$18,Annahmen!$C$18/Annahmen!$C$21,""))</f>
        <v/>
      </c>
      <c r="P139" s="91" t="str">
        <f>IF(O139=0,"",IF(SUM($E$139:O139)&lt;Annahmen!$C$18,Annahmen!$C$18/Annahmen!$C$21,""))</f>
        <v/>
      </c>
      <c r="Q139" s="91" t="str">
        <f>IF(P139=0,"",IF(SUM($E$139:P139)&lt;Annahmen!$C$18,Annahmen!$C$18/Annahmen!$C$21,""))</f>
        <v/>
      </c>
      <c r="R139" s="91" t="str">
        <f>IF(Q139=0,"",IF(SUM($E$139:Q139)&lt;Annahmen!$C$18,Annahmen!$C$18/Annahmen!$C$21,""))</f>
        <v/>
      </c>
      <c r="S139" s="91" t="str">
        <f>IF(R139=0,"",IF(SUM($E$139:R139)&lt;Annahmen!$C$18,Annahmen!$C$18/Annahmen!$C$21,""))</f>
        <v/>
      </c>
      <c r="T139" s="91" t="str">
        <f>IF(S139=0,"",IF(SUM($E$139:S139)&lt;Annahmen!$C$18,Annahmen!$C$18/Annahmen!$C$21,""))</f>
        <v/>
      </c>
      <c r="U139" s="91" t="str">
        <f>IF(T139=0,"",IF(SUM($E$139:T139)&lt;Annahmen!$C$18,Annahmen!$C$18/Annahmen!$C$21,""))</f>
        <v/>
      </c>
      <c r="V139" s="91" t="str">
        <f>IF(U139=0,"",IF(SUM($E$139:U139)&lt;Annahmen!$C$18,Annahmen!$C$18/Annahmen!$C$21,""))</f>
        <v/>
      </c>
      <c r="W139" s="91" t="str">
        <f>IF(V139=0,"",IF(SUM($E$139:V139)&lt;Annahmen!$C$18,Annahmen!$C$18/Annahmen!$C$21,""))</f>
        <v/>
      </c>
    </row>
    <row r="140" ht="15.75" customHeight="1">
      <c r="D140" s="8" t="s">
        <v>185</v>
      </c>
      <c r="E140" s="91">
        <f>Annahmen!C27</f>
        <v>0</v>
      </c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ht="15.75" customHeight="1">
      <c r="D141" s="8" t="s">
        <v>186</v>
      </c>
      <c r="E141" s="91">
        <f>Annahmen!D31</f>
        <v>10000</v>
      </c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ht="15.75" customHeight="1">
      <c r="D142" s="8" t="str">
        <f>Annahmen!B36</f>
        <v>Küche</v>
      </c>
      <c r="E142" s="91">
        <f>Annahmen!C36</f>
        <v>5000</v>
      </c>
    </row>
    <row r="143" ht="15.75" customHeight="1">
      <c r="D143" s="8" t="str">
        <f>Annahmen!B37</f>
        <v>Möbel</v>
      </c>
      <c r="E143" s="91">
        <f>Annahmen!C37</f>
        <v>3000</v>
      </c>
    </row>
    <row r="144" ht="15.75" customHeight="1">
      <c r="D144" s="8" t="str">
        <f>Annahmen!B38</f>
        <v>Autos</v>
      </c>
      <c r="E144" s="91">
        <f>Annahmen!C38</f>
        <v>0</v>
      </c>
    </row>
    <row r="145" ht="15.75" customHeight="1">
      <c r="D145" s="8" t="str">
        <f>Annahmen!B39</f>
        <v>Weiteres</v>
      </c>
      <c r="E145" s="91">
        <f>Annahmen!C39</f>
        <v>2000</v>
      </c>
    </row>
    <row r="146" ht="15.75" customHeight="1"/>
    <row r="147" ht="15.75" customHeight="1">
      <c r="D147" s="96" t="s">
        <v>187</v>
      </c>
      <c r="E147" s="98">
        <f t="shared" ref="E147:H147" si="7">IF(SUM(E139:E145)=0,"",SUM(E139:E145))</f>
        <v>22500</v>
      </c>
      <c r="F147" s="98">
        <f t="shared" si="7"/>
        <v>2500</v>
      </c>
      <c r="G147" s="98">
        <f t="shared" si="7"/>
        <v>2500</v>
      </c>
      <c r="H147" s="98">
        <f t="shared" si="7"/>
        <v>2500</v>
      </c>
      <c r="I147" s="98">
        <f t="shared" ref="I147:W147" si="8">SUM(I139:I146)</f>
        <v>0</v>
      </c>
      <c r="J147" s="98">
        <f t="shared" si="8"/>
        <v>0</v>
      </c>
      <c r="K147" s="98">
        <f t="shared" si="8"/>
        <v>0</v>
      </c>
      <c r="L147" s="98">
        <f t="shared" si="8"/>
        <v>0</v>
      </c>
      <c r="M147" s="98">
        <f t="shared" si="8"/>
        <v>0</v>
      </c>
      <c r="N147" s="98">
        <f t="shared" si="8"/>
        <v>0</v>
      </c>
      <c r="O147" s="98">
        <f t="shared" si="8"/>
        <v>0</v>
      </c>
      <c r="P147" s="98">
        <f t="shared" si="8"/>
        <v>0</v>
      </c>
      <c r="Q147" s="98">
        <f t="shared" si="8"/>
        <v>0</v>
      </c>
      <c r="R147" s="98">
        <f t="shared" si="8"/>
        <v>0</v>
      </c>
      <c r="S147" s="98">
        <f t="shared" si="8"/>
        <v>0</v>
      </c>
      <c r="T147" s="98">
        <f t="shared" si="8"/>
        <v>0</v>
      </c>
      <c r="U147" s="98">
        <f t="shared" si="8"/>
        <v>0</v>
      </c>
      <c r="V147" s="98">
        <f t="shared" si="8"/>
        <v>0</v>
      </c>
      <c r="W147" s="99">
        <f t="shared" si="8"/>
        <v>0</v>
      </c>
    </row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8.33"/>
    <col customWidth="1" min="2" max="2" width="16.0"/>
    <col customWidth="1" min="3" max="3" width="9.33"/>
    <col customWidth="1" min="4" max="4" width="8.33"/>
    <col customWidth="1" min="5" max="5" width="10.11"/>
    <col customWidth="1" min="6" max="8" width="9.33"/>
    <col customWidth="1" min="9" max="26" width="8.33"/>
  </cols>
  <sheetData>
    <row r="1" ht="15.75" customHeight="1"/>
    <row r="2" ht="15.75" customHeight="1"/>
    <row r="3" ht="15.75" customHeight="1">
      <c r="C3" s="100">
        <f>'Berechnungen und Grafiken'!L18+'Berechnungen und Grafiken'!L22</f>
        <v>32746.83892</v>
      </c>
    </row>
    <row r="4" ht="15.75" customHeight="1">
      <c r="B4" s="8" t="str">
        <f>'Berechnungen und Grafiken'!B10</f>
        <v>Einnahmen Lieferdienst</v>
      </c>
      <c r="C4" s="101">
        <f>'Berechnungen und Grafiken'!L18/Grafiken!C3</f>
        <v>0.7898315328</v>
      </c>
    </row>
    <row r="5" ht="15.75" customHeight="1">
      <c r="B5" s="8" t="str">
        <f>'Berechnungen und Grafiken'!B20</f>
        <v>Einnahmen Restaurant</v>
      </c>
      <c r="C5" s="101">
        <f>'Berechnungen und Grafiken'!L22/Grafiken!C3</f>
        <v>0.2101684672</v>
      </c>
    </row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>
      <c r="B34" s="8" t="str">
        <f>'Berechnungen und Grafiken'!C12</f>
        <v>über eigene Webseite</v>
      </c>
      <c r="C34" s="101">
        <f t="shared" ref="C34:C38" si="1">E34/$E$39</f>
        <v>0.1</v>
      </c>
      <c r="E34" s="102">
        <f>'Berechnungen und Grafiken'!L12</f>
        <v>2586.448598</v>
      </c>
    </row>
    <row r="35" ht="15.75" customHeight="1">
      <c r="B35" s="8" t="str">
        <f>'Berechnungen und Grafiken'!C13</f>
        <v>über eigene App</v>
      </c>
      <c r="C35" s="101">
        <f t="shared" si="1"/>
        <v>0.1</v>
      </c>
      <c r="E35" s="102">
        <f>'Berechnungen und Grafiken'!L13</f>
        <v>2586.448598</v>
      </c>
    </row>
    <row r="36" ht="15.75" customHeight="1">
      <c r="B36" s="8" t="str">
        <f>'Berechnungen und Grafiken'!C14</f>
        <v>über Lieferando</v>
      </c>
      <c r="C36" s="101">
        <f t="shared" si="1"/>
        <v>0.4</v>
      </c>
      <c r="E36" s="102">
        <f>'Berechnungen und Grafiken'!L14</f>
        <v>10345.79439</v>
      </c>
    </row>
    <row r="37" ht="15.75" customHeight="1">
      <c r="B37" s="8" t="str">
        <f>'Berechnungen und Grafiken'!C15</f>
        <v>über sonstige Portale</v>
      </c>
      <c r="C37" s="101">
        <f t="shared" si="1"/>
        <v>0.05</v>
      </c>
      <c r="E37" s="102">
        <f>'Berechnungen und Grafiken'!L15</f>
        <v>1293.224299</v>
      </c>
    </row>
    <row r="38" ht="15.75" customHeight="1">
      <c r="B38" s="8" t="str">
        <f>'Berechnungen und Grafiken'!C16</f>
        <v>sontige Quellen</v>
      </c>
      <c r="C38" s="101">
        <f t="shared" si="1"/>
        <v>0.35</v>
      </c>
      <c r="E38" s="102">
        <f>'Berechnungen und Grafiken'!L16</f>
        <v>9052.570093</v>
      </c>
    </row>
    <row r="39" ht="15.75" customHeight="1">
      <c r="E39" s="102">
        <f>SUM(E34:E38)</f>
        <v>25864.48598</v>
      </c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>
      <c r="B66" s="8" t="s">
        <v>188</v>
      </c>
      <c r="C66" s="101">
        <f t="shared" ref="C66:C69" si="2">D66/$D$70</f>
        <v>0.03798022533</v>
      </c>
      <c r="D66" s="95">
        <f>SUM('Berechnungen und Grafiken'!L29:L30)</f>
        <v>1075</v>
      </c>
    </row>
    <row r="67" ht="15.75" customHeight="1">
      <c r="B67" s="8" t="s">
        <v>171</v>
      </c>
      <c r="C67" s="101">
        <f t="shared" si="2"/>
        <v>0.4433581318</v>
      </c>
      <c r="D67" s="95">
        <f>SUM('Berechnungen und Grafiken'!L32:L37)</f>
        <v>12548.89848</v>
      </c>
    </row>
    <row r="68" ht="15.75" customHeight="1">
      <c r="B68" s="8" t="s">
        <v>132</v>
      </c>
      <c r="C68" s="101">
        <f t="shared" si="2"/>
        <v>0.3008096777</v>
      </c>
      <c r="D68" s="95">
        <f>SUM('Berechnungen und Grafiken'!L39:L40)</f>
        <v>8514.17812</v>
      </c>
    </row>
    <row r="69" ht="15.75" customHeight="1">
      <c r="B69" s="8" t="s">
        <v>189</v>
      </c>
      <c r="C69" s="101">
        <f t="shared" si="2"/>
        <v>0.2178519652</v>
      </c>
      <c r="D69" s="95">
        <f>SUM('Berechnungen und Grafiken'!L42:L58)</f>
        <v>6166.126203</v>
      </c>
    </row>
    <row r="70" ht="15.75" customHeight="1">
      <c r="D70" s="95">
        <f>SUM(D66:D69)</f>
        <v>28304.2028</v>
      </c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>
      <c r="E107" s="8">
        <f>DATEDIF(Annahmen!H17,Annahmen!H18,"m")</f>
        <v>2</v>
      </c>
      <c r="F107" s="8">
        <f t="shared" ref="F107:W107" si="3">E107+1</f>
        <v>3</v>
      </c>
      <c r="G107" s="8">
        <f t="shared" si="3"/>
        <v>4</v>
      </c>
      <c r="H107" s="8">
        <f t="shared" si="3"/>
        <v>5</v>
      </c>
      <c r="I107" s="8">
        <f t="shared" si="3"/>
        <v>6</v>
      </c>
      <c r="J107" s="8">
        <f t="shared" si="3"/>
        <v>7</v>
      </c>
      <c r="K107" s="8">
        <f t="shared" si="3"/>
        <v>8</v>
      </c>
      <c r="L107" s="8">
        <f t="shared" si="3"/>
        <v>9</v>
      </c>
      <c r="M107" s="8">
        <f t="shared" si="3"/>
        <v>10</v>
      </c>
      <c r="N107" s="8">
        <f t="shared" si="3"/>
        <v>11</v>
      </c>
      <c r="O107" s="8">
        <f t="shared" si="3"/>
        <v>12</v>
      </c>
      <c r="P107" s="8">
        <f t="shared" si="3"/>
        <v>13</v>
      </c>
      <c r="Q107" s="8">
        <f t="shared" si="3"/>
        <v>14</v>
      </c>
      <c r="R107" s="8">
        <f t="shared" si="3"/>
        <v>15</v>
      </c>
      <c r="S107" s="8">
        <f t="shared" si="3"/>
        <v>16</v>
      </c>
      <c r="T107" s="8">
        <f t="shared" si="3"/>
        <v>17</v>
      </c>
      <c r="U107" s="8">
        <f t="shared" si="3"/>
        <v>18</v>
      </c>
      <c r="V107" s="8">
        <f t="shared" si="3"/>
        <v>19</v>
      </c>
      <c r="W107" s="8">
        <f t="shared" si="3"/>
        <v>20</v>
      </c>
    </row>
    <row r="108" ht="15.75" customHeight="1">
      <c r="E108" s="83">
        <f>'Berechnungen und Grafiken'!E9</f>
        <v>44166</v>
      </c>
      <c r="F108" s="83">
        <f>'Berechnungen und Grafiken'!F9</f>
        <v>44197</v>
      </c>
      <c r="G108" s="83">
        <f>'Berechnungen und Grafiken'!G9</f>
        <v>44228</v>
      </c>
      <c r="H108" s="83">
        <f>'Berechnungen und Grafiken'!H9</f>
        <v>44256</v>
      </c>
      <c r="I108" s="83">
        <f>'Berechnungen und Grafiken'!I9</f>
        <v>44287</v>
      </c>
      <c r="J108" s="83">
        <f>'Berechnungen und Grafiken'!J9</f>
        <v>44317</v>
      </c>
      <c r="K108" s="83">
        <f>'Berechnungen und Grafiken'!K9</f>
        <v>44348</v>
      </c>
      <c r="L108" s="83">
        <f>'Berechnungen und Grafiken'!L9</f>
        <v>44378</v>
      </c>
      <c r="M108" s="83">
        <f>'Berechnungen und Grafiken'!M9</f>
        <v>44409</v>
      </c>
      <c r="N108" s="83">
        <f>'Berechnungen und Grafiken'!N9</f>
        <v>44440</v>
      </c>
      <c r="O108" s="83">
        <f>'Berechnungen und Grafiken'!O9</f>
        <v>44470</v>
      </c>
      <c r="P108" s="83">
        <f>'Berechnungen und Grafiken'!P9</f>
        <v>44501</v>
      </c>
      <c r="Q108" s="83">
        <f>'Berechnungen und Grafiken'!Q9</f>
        <v>44531</v>
      </c>
      <c r="R108" s="83">
        <f>'Berechnungen und Grafiken'!R9</f>
        <v>44562</v>
      </c>
      <c r="S108" s="83">
        <f>'Berechnungen und Grafiken'!S9</f>
        <v>44593</v>
      </c>
      <c r="T108" s="83">
        <f>'Berechnungen und Grafiken'!T9</f>
        <v>44621</v>
      </c>
      <c r="U108" s="83">
        <f>'Berechnungen und Grafiken'!U9</f>
        <v>44652</v>
      </c>
      <c r="V108" s="83">
        <f>'Berechnungen und Grafiken'!V9</f>
        <v>44682</v>
      </c>
      <c r="W108" s="83">
        <f>'Berechnungen und Grafiken'!W9</f>
        <v>44713</v>
      </c>
      <c r="X108" s="103"/>
      <c r="Y108" s="103"/>
      <c r="Z108" s="103"/>
    </row>
    <row r="109" ht="15.75" customHeight="1">
      <c r="D109" s="8" t="str">
        <f>'Berechnungen und Grafiken'!C24</f>
        <v>Summe Einnahmen</v>
      </c>
      <c r="E109" s="102">
        <f>'Berechnungen und Grafiken'!E24</f>
        <v>19814.59593</v>
      </c>
      <c r="F109" s="102">
        <f>'Berechnungen und Grafiken'!F24</f>
        <v>26280.71743</v>
      </c>
      <c r="G109" s="102">
        <f>'Berechnungen und Grafiken'!G24</f>
        <v>32746.83892</v>
      </c>
      <c r="H109" s="102">
        <f>'Berechnungen und Grafiken'!H24</f>
        <v>32746.83892</v>
      </c>
      <c r="I109" s="102">
        <f>'Berechnungen und Grafiken'!I24</f>
        <v>32746.83892</v>
      </c>
      <c r="J109" s="102">
        <f>'Berechnungen und Grafiken'!J24</f>
        <v>32746.83892</v>
      </c>
      <c r="K109" s="102">
        <f>'Berechnungen und Grafiken'!K24</f>
        <v>32746.83892</v>
      </c>
      <c r="L109" s="102">
        <f>'Berechnungen und Grafiken'!L24</f>
        <v>32746.83892</v>
      </c>
      <c r="M109" s="102">
        <f>'Berechnungen und Grafiken'!M24</f>
        <v>32746.83892</v>
      </c>
      <c r="N109" s="102">
        <f>'Berechnungen und Grafiken'!N24</f>
        <v>32746.83892</v>
      </c>
      <c r="O109" s="102">
        <f>'Berechnungen und Grafiken'!O24</f>
        <v>32746.83892</v>
      </c>
      <c r="P109" s="102">
        <f>'Berechnungen und Grafiken'!P24</f>
        <v>32746.83892</v>
      </c>
      <c r="Q109" s="102">
        <f>'Berechnungen und Grafiken'!Q24</f>
        <v>32746.83892</v>
      </c>
      <c r="R109" s="102">
        <f>'Berechnungen und Grafiken'!R24</f>
        <v>32746.83892</v>
      </c>
      <c r="S109" s="102">
        <f>'Berechnungen und Grafiken'!S24</f>
        <v>32746.83892</v>
      </c>
      <c r="T109" s="102">
        <f>'Berechnungen und Grafiken'!T24</f>
        <v>32746.83892</v>
      </c>
      <c r="U109" s="102">
        <f>'Berechnungen und Grafiken'!U24</f>
        <v>32746.83892</v>
      </c>
      <c r="V109" s="102">
        <f>'Berechnungen und Grafiken'!V24</f>
        <v>32746.83892</v>
      </c>
      <c r="W109" s="102">
        <f>'Berechnungen und Grafiken'!W24</f>
        <v>32746.83892</v>
      </c>
    </row>
    <row r="110" ht="15.75" customHeight="1">
      <c r="D110" s="8" t="str">
        <f>'Berechnungen und Grafiken'!C60</f>
        <v>Summe Ausgaben</v>
      </c>
      <c r="E110" s="95">
        <f>'Berechnungen und Grafiken'!E60</f>
        <v>25423.5076</v>
      </c>
      <c r="F110" s="95">
        <f>'Berechnungen und Grafiken'!F60</f>
        <v>25614.12672</v>
      </c>
      <c r="G110" s="95">
        <f>'Berechnungen und Grafiken'!G60</f>
        <v>28304.2028</v>
      </c>
      <c r="H110" s="95">
        <f>'Berechnungen und Grafiken'!H60</f>
        <v>28304.2028</v>
      </c>
      <c r="I110" s="95">
        <f>'Berechnungen und Grafiken'!I60</f>
        <v>28304.2028</v>
      </c>
      <c r="J110" s="95">
        <f>'Berechnungen und Grafiken'!J60</f>
        <v>28304.2028</v>
      </c>
      <c r="K110" s="95">
        <f>'Berechnungen und Grafiken'!K60</f>
        <v>28304.2028</v>
      </c>
      <c r="L110" s="95">
        <f>'Berechnungen und Grafiken'!L60</f>
        <v>28304.2028</v>
      </c>
      <c r="M110" s="95">
        <f>'Berechnungen und Grafiken'!M60</f>
        <v>28304.2028</v>
      </c>
      <c r="N110" s="95">
        <f>'Berechnungen und Grafiken'!N60</f>
        <v>28304.2028</v>
      </c>
      <c r="O110" s="95">
        <f>'Berechnungen und Grafiken'!O60</f>
        <v>28304.2028</v>
      </c>
      <c r="P110" s="95">
        <f>'Berechnungen und Grafiken'!P60</f>
        <v>28304.2028</v>
      </c>
      <c r="Q110" s="95">
        <f>'Berechnungen und Grafiken'!Q60</f>
        <v>28304.2028</v>
      </c>
      <c r="R110" s="95">
        <f>'Berechnungen und Grafiken'!R60</f>
        <v>28304.2028</v>
      </c>
      <c r="S110" s="95">
        <f>'Berechnungen und Grafiken'!S60</f>
        <v>28304.2028</v>
      </c>
      <c r="T110" s="95">
        <f>'Berechnungen und Grafiken'!T60</f>
        <v>28304.2028</v>
      </c>
      <c r="U110" s="95">
        <f>'Berechnungen und Grafiken'!U60</f>
        <v>28304.2028</v>
      </c>
      <c r="V110" s="95">
        <f>'Berechnungen und Grafiken'!V60</f>
        <v>28304.2028</v>
      </c>
      <c r="W110" s="95">
        <f>'Berechnungen und Grafiken'!W60</f>
        <v>28304.2028</v>
      </c>
    </row>
    <row r="111" ht="15.75" customHeight="1">
      <c r="E111" s="102">
        <f t="shared" ref="E111:W111" si="4">E109-E110</f>
        <v>-5608.911664</v>
      </c>
      <c r="F111" s="102">
        <f t="shared" si="4"/>
        <v>666.5907103</v>
      </c>
      <c r="G111" s="102">
        <f t="shared" si="4"/>
        <v>4442.636125</v>
      </c>
      <c r="H111" s="102">
        <f t="shared" si="4"/>
        <v>4442.636125</v>
      </c>
      <c r="I111" s="102">
        <f t="shared" si="4"/>
        <v>4442.636125</v>
      </c>
      <c r="J111" s="102">
        <f t="shared" si="4"/>
        <v>4442.636125</v>
      </c>
      <c r="K111" s="102">
        <f t="shared" si="4"/>
        <v>4442.636125</v>
      </c>
      <c r="L111" s="102">
        <f t="shared" si="4"/>
        <v>4442.636125</v>
      </c>
      <c r="M111" s="102">
        <f t="shared" si="4"/>
        <v>4442.636125</v>
      </c>
      <c r="N111" s="102">
        <f t="shared" si="4"/>
        <v>4442.636125</v>
      </c>
      <c r="O111" s="102">
        <f t="shared" si="4"/>
        <v>4442.636125</v>
      </c>
      <c r="P111" s="102">
        <f t="shared" si="4"/>
        <v>4442.636125</v>
      </c>
      <c r="Q111" s="102">
        <f t="shared" si="4"/>
        <v>4442.636125</v>
      </c>
      <c r="R111" s="102">
        <f t="shared" si="4"/>
        <v>4442.636125</v>
      </c>
      <c r="S111" s="102">
        <f t="shared" si="4"/>
        <v>4442.636125</v>
      </c>
      <c r="T111" s="102">
        <f t="shared" si="4"/>
        <v>4442.636125</v>
      </c>
      <c r="U111" s="102">
        <f t="shared" si="4"/>
        <v>4442.636125</v>
      </c>
      <c r="V111" s="102">
        <f t="shared" si="4"/>
        <v>4442.636125</v>
      </c>
      <c r="W111" s="102">
        <f t="shared" si="4"/>
        <v>4442.636125</v>
      </c>
    </row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>
      <c r="E142" s="104">
        <f>E107-DATEDIF(E143,E108,"m")</f>
        <v>0</v>
      </c>
      <c r="F142" s="104">
        <f t="shared" ref="F142:W142" si="5">E142+1</f>
        <v>1</v>
      </c>
      <c r="G142" s="104">
        <f t="shared" si="5"/>
        <v>2</v>
      </c>
      <c r="H142" s="104">
        <f t="shared" si="5"/>
        <v>3</v>
      </c>
      <c r="I142" s="104">
        <f t="shared" si="5"/>
        <v>4</v>
      </c>
      <c r="J142" s="104">
        <f t="shared" si="5"/>
        <v>5</v>
      </c>
      <c r="K142" s="104">
        <f t="shared" si="5"/>
        <v>6</v>
      </c>
      <c r="L142" s="104">
        <f t="shared" si="5"/>
        <v>7</v>
      </c>
      <c r="M142" s="104">
        <f t="shared" si="5"/>
        <v>8</v>
      </c>
      <c r="N142" s="104">
        <f t="shared" si="5"/>
        <v>9</v>
      </c>
      <c r="O142" s="104">
        <f t="shared" si="5"/>
        <v>10</v>
      </c>
      <c r="P142" s="104">
        <f t="shared" si="5"/>
        <v>11</v>
      </c>
      <c r="Q142" s="104">
        <f t="shared" si="5"/>
        <v>12</v>
      </c>
      <c r="R142" s="104">
        <f t="shared" si="5"/>
        <v>13</v>
      </c>
      <c r="S142" s="104">
        <f t="shared" si="5"/>
        <v>14</v>
      </c>
      <c r="T142" s="104">
        <f t="shared" si="5"/>
        <v>15</v>
      </c>
      <c r="U142" s="104">
        <f t="shared" si="5"/>
        <v>16</v>
      </c>
      <c r="V142" s="104">
        <f t="shared" si="5"/>
        <v>17</v>
      </c>
      <c r="W142" s="104">
        <f t="shared" si="5"/>
        <v>18</v>
      </c>
    </row>
    <row r="143" ht="15.75" customHeight="1">
      <c r="E143" s="83">
        <f>'Berechnungen und Grafiken'!E135</f>
        <v>44105</v>
      </c>
      <c r="F143" s="83">
        <f>'Berechnungen und Grafiken'!F135</f>
        <v>44136</v>
      </c>
      <c r="G143" s="83">
        <f>'Berechnungen und Grafiken'!G135</f>
        <v>44166</v>
      </c>
      <c r="H143" s="83">
        <f>'Berechnungen und Grafiken'!H135</f>
        <v>44197</v>
      </c>
      <c r="I143" s="83">
        <f>'Berechnungen und Grafiken'!I135</f>
        <v>44228</v>
      </c>
      <c r="J143" s="83">
        <f>'Berechnungen und Grafiken'!J135</f>
        <v>44256</v>
      </c>
      <c r="K143" s="83">
        <f>'Berechnungen und Grafiken'!K135</f>
        <v>44287</v>
      </c>
      <c r="L143" s="83">
        <f>'Berechnungen und Grafiken'!L135</f>
        <v>44317</v>
      </c>
      <c r="M143" s="83">
        <f>'Berechnungen und Grafiken'!M135</f>
        <v>44348</v>
      </c>
      <c r="N143" s="83">
        <f>'Berechnungen und Grafiken'!N135</f>
        <v>44378</v>
      </c>
      <c r="O143" s="83">
        <f>'Berechnungen und Grafiken'!O135</f>
        <v>44409</v>
      </c>
      <c r="P143" s="83">
        <f>'Berechnungen und Grafiken'!P135</f>
        <v>44440</v>
      </c>
      <c r="Q143" s="83">
        <f>'Berechnungen und Grafiken'!Q135</f>
        <v>44470</v>
      </c>
      <c r="R143" s="83">
        <f>'Berechnungen und Grafiken'!R135</f>
        <v>44501</v>
      </c>
      <c r="S143" s="83">
        <f>'Berechnungen und Grafiken'!S135</f>
        <v>44531</v>
      </c>
      <c r="T143" s="83">
        <f>'Berechnungen und Grafiken'!T135</f>
        <v>44562</v>
      </c>
      <c r="U143" s="83">
        <f>'Berechnungen und Grafiken'!U135</f>
        <v>44593</v>
      </c>
      <c r="V143" s="83">
        <f>'Berechnungen und Grafiken'!V135</f>
        <v>44621</v>
      </c>
      <c r="W143" s="83">
        <f>'Berechnungen und Grafiken'!W135</f>
        <v>44652</v>
      </c>
    </row>
    <row r="144" ht="15.75" customHeight="1">
      <c r="D144" s="8" t="s">
        <v>190</v>
      </c>
      <c r="E144" s="105">
        <f>'Berechnungen und Grafiken'!E147</f>
        <v>22500</v>
      </c>
      <c r="F144" s="105">
        <f>E144+'Berechnungen und Grafiken'!F147</f>
        <v>25000</v>
      </c>
      <c r="G144" s="105">
        <f>F144+'Berechnungen und Grafiken'!G147</f>
        <v>27500</v>
      </c>
      <c r="H144" s="105">
        <f>G144+'Berechnungen und Grafiken'!H147</f>
        <v>30000</v>
      </c>
      <c r="I144" s="105">
        <f>IF(H144+'Berechnungen und Grafiken'!I147=H144,H144+'Berechnungen und Grafiken'!I147,H144)</f>
        <v>30000</v>
      </c>
      <c r="J144" s="105">
        <f>I144+'Berechnungen und Grafiken'!J147</f>
        <v>30000</v>
      </c>
      <c r="K144" s="105">
        <f>J144+'Berechnungen und Grafiken'!K147</f>
        <v>30000</v>
      </c>
      <c r="L144" s="105">
        <f>K144+'Berechnungen und Grafiken'!L147</f>
        <v>30000</v>
      </c>
      <c r="M144" s="105">
        <f>L144+'Berechnungen und Grafiken'!M147</f>
        <v>30000</v>
      </c>
      <c r="N144" s="105">
        <f>M144+'Berechnungen und Grafiken'!N147</f>
        <v>30000</v>
      </c>
      <c r="O144" s="105">
        <f>N144+'Berechnungen und Grafiken'!O147</f>
        <v>30000</v>
      </c>
      <c r="P144" s="105">
        <f>O144+'Berechnungen und Grafiken'!P147</f>
        <v>30000</v>
      </c>
      <c r="Q144" s="105">
        <f>P144+'Berechnungen und Grafiken'!Q147</f>
        <v>30000</v>
      </c>
      <c r="R144" s="105">
        <f>Q144+'Berechnungen und Grafiken'!R147</f>
        <v>30000</v>
      </c>
      <c r="S144" s="105">
        <f>R144+'Berechnungen und Grafiken'!S147</f>
        <v>30000</v>
      </c>
      <c r="T144" s="105">
        <f>S144+'Berechnungen und Grafiken'!T147</f>
        <v>30000</v>
      </c>
      <c r="U144" s="105">
        <f>T144+'Berechnungen und Grafiken'!U147</f>
        <v>30000</v>
      </c>
      <c r="V144" s="105">
        <f>U144+'Berechnungen und Grafiken'!V147</f>
        <v>30000</v>
      </c>
      <c r="W144" s="105">
        <f>V144+'Berechnungen und Grafiken'!W147</f>
        <v>30000</v>
      </c>
    </row>
    <row r="145" ht="15.75" customHeight="1">
      <c r="D145" s="8" t="s">
        <v>191</v>
      </c>
      <c r="E145" s="105">
        <f>E148</f>
        <v>0</v>
      </c>
      <c r="F145" s="105">
        <f t="shared" ref="F145:W145" si="6">SUM($E$148:F148)</f>
        <v>0</v>
      </c>
      <c r="G145" s="105">
        <f t="shared" si="6"/>
        <v>-5608.911664</v>
      </c>
      <c r="H145" s="105">
        <f t="shared" si="6"/>
        <v>-4942.320954</v>
      </c>
      <c r="I145" s="105">
        <f t="shared" si="6"/>
        <v>-499.684829</v>
      </c>
      <c r="J145" s="105">
        <f t="shared" si="6"/>
        <v>3942.951296</v>
      </c>
      <c r="K145" s="105">
        <f t="shared" si="6"/>
        <v>8385.587421</v>
      </c>
      <c r="L145" s="105">
        <f t="shared" si="6"/>
        <v>12828.22355</v>
      </c>
      <c r="M145" s="105">
        <f t="shared" si="6"/>
        <v>17270.85967</v>
      </c>
      <c r="N145" s="105">
        <f t="shared" si="6"/>
        <v>21713.4958</v>
      </c>
      <c r="O145" s="105">
        <f t="shared" si="6"/>
        <v>26156.13192</v>
      </c>
      <c r="P145" s="105">
        <f t="shared" si="6"/>
        <v>30598.76805</v>
      </c>
      <c r="Q145" s="105">
        <f t="shared" si="6"/>
        <v>35041.40417</v>
      </c>
      <c r="R145" s="105">
        <f t="shared" si="6"/>
        <v>39484.0403</v>
      </c>
      <c r="S145" s="105">
        <f t="shared" si="6"/>
        <v>43926.67642</v>
      </c>
      <c r="T145" s="105">
        <f t="shared" si="6"/>
        <v>48369.31255</v>
      </c>
      <c r="U145" s="105">
        <f t="shared" si="6"/>
        <v>52811.94867</v>
      </c>
      <c r="V145" s="105">
        <f t="shared" si="6"/>
        <v>57254.5848</v>
      </c>
      <c r="W145" s="105">
        <f t="shared" si="6"/>
        <v>61697.22092</v>
      </c>
    </row>
    <row r="146" ht="15.75" customHeight="1"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</row>
    <row r="147" ht="15.75" customHeight="1">
      <c r="E147" s="100" t="str">
        <f t="array" ref="E147">IF(VLOOKUP(E143,$E$155:$F$173,2,FALSE)=ISTNV,0,VLOOKUP(E143,$E$155:$F$173,2,FALSE))</f>
        <v>#N/A</v>
      </c>
      <c r="F147" s="100" t="str">
        <f t="shared" ref="F147:W147" si="7">VLOOKUP(F143,$E$155:$F$173,2,FALSE)</f>
        <v>#N/A</v>
      </c>
      <c r="G147" s="100">
        <f t="shared" si="7"/>
        <v>-5608.911664</v>
      </c>
      <c r="H147" s="100">
        <f t="shared" si="7"/>
        <v>666.5907103</v>
      </c>
      <c r="I147" s="100">
        <f t="shared" si="7"/>
        <v>4442.636125</v>
      </c>
      <c r="J147" s="100">
        <f t="shared" si="7"/>
        <v>4442.636125</v>
      </c>
      <c r="K147" s="100">
        <f t="shared" si="7"/>
        <v>4442.636125</v>
      </c>
      <c r="L147" s="100">
        <f t="shared" si="7"/>
        <v>4442.636125</v>
      </c>
      <c r="M147" s="100">
        <f t="shared" si="7"/>
        <v>4442.636125</v>
      </c>
      <c r="N147" s="100">
        <f t="shared" si="7"/>
        <v>4442.636125</v>
      </c>
      <c r="O147" s="100">
        <f t="shared" si="7"/>
        <v>4442.636125</v>
      </c>
      <c r="P147" s="100">
        <f t="shared" si="7"/>
        <v>4442.636125</v>
      </c>
      <c r="Q147" s="100">
        <f t="shared" si="7"/>
        <v>4442.636125</v>
      </c>
      <c r="R147" s="100">
        <f t="shared" si="7"/>
        <v>4442.636125</v>
      </c>
      <c r="S147" s="100">
        <f t="shared" si="7"/>
        <v>4442.636125</v>
      </c>
      <c r="T147" s="100">
        <f t="shared" si="7"/>
        <v>4442.636125</v>
      </c>
      <c r="U147" s="100">
        <f t="shared" si="7"/>
        <v>4442.636125</v>
      </c>
      <c r="V147" s="100">
        <f t="shared" si="7"/>
        <v>4442.636125</v>
      </c>
      <c r="W147" s="100">
        <f t="shared" si="7"/>
        <v>4442.636125</v>
      </c>
    </row>
    <row r="148" ht="15.75" customHeight="1">
      <c r="D148" s="8" t="s">
        <v>192</v>
      </c>
      <c r="E148" s="105">
        <f t="shared" ref="E148:W148" si="8">IF(ISNA(E147)=TRUE,0,E147)</f>
        <v>0</v>
      </c>
      <c r="F148" s="105">
        <f t="shared" si="8"/>
        <v>0</v>
      </c>
      <c r="G148" s="105">
        <f t="shared" si="8"/>
        <v>-5608.911664</v>
      </c>
      <c r="H148" s="105">
        <f t="shared" si="8"/>
        <v>666.5907103</v>
      </c>
      <c r="I148" s="105">
        <f t="shared" si="8"/>
        <v>4442.636125</v>
      </c>
      <c r="J148" s="105">
        <f t="shared" si="8"/>
        <v>4442.636125</v>
      </c>
      <c r="K148" s="105">
        <f t="shared" si="8"/>
        <v>4442.636125</v>
      </c>
      <c r="L148" s="105">
        <f t="shared" si="8"/>
        <v>4442.636125</v>
      </c>
      <c r="M148" s="105">
        <f t="shared" si="8"/>
        <v>4442.636125</v>
      </c>
      <c r="N148" s="105">
        <f t="shared" si="8"/>
        <v>4442.636125</v>
      </c>
      <c r="O148" s="105">
        <f t="shared" si="8"/>
        <v>4442.636125</v>
      </c>
      <c r="P148" s="105">
        <f t="shared" si="8"/>
        <v>4442.636125</v>
      </c>
      <c r="Q148" s="105">
        <f t="shared" si="8"/>
        <v>4442.636125</v>
      </c>
      <c r="R148" s="105">
        <f t="shared" si="8"/>
        <v>4442.636125</v>
      </c>
      <c r="S148" s="105">
        <f t="shared" si="8"/>
        <v>4442.636125</v>
      </c>
      <c r="T148" s="105">
        <f t="shared" si="8"/>
        <v>4442.636125</v>
      </c>
      <c r="U148" s="105">
        <f t="shared" si="8"/>
        <v>4442.636125</v>
      </c>
      <c r="V148" s="105">
        <f t="shared" si="8"/>
        <v>4442.636125</v>
      </c>
      <c r="W148" s="105">
        <f t="shared" si="8"/>
        <v>4442.636125</v>
      </c>
    </row>
    <row r="149" ht="15.75" customHeight="1"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</row>
    <row r="150" ht="15.75" customHeight="1"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</row>
    <row r="151" ht="15.75" customHeight="1"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</row>
    <row r="152" ht="15.75" customHeight="1"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</row>
    <row r="153" ht="15.75" customHeight="1"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</row>
    <row r="154" ht="15.75" customHeight="1"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</row>
    <row r="155" ht="15.75" customHeight="1">
      <c r="E155" s="83">
        <f>E108</f>
        <v>44166</v>
      </c>
      <c r="F155" s="102">
        <f>E111</f>
        <v>-5608.911664</v>
      </c>
    </row>
    <row r="156" ht="15.75" customHeight="1">
      <c r="E156" s="83">
        <f>F108</f>
        <v>44197</v>
      </c>
      <c r="F156" s="102">
        <f>F111</f>
        <v>666.5907103</v>
      </c>
    </row>
    <row r="157" ht="15.75" customHeight="1">
      <c r="E157" s="83">
        <f>G108</f>
        <v>44228</v>
      </c>
      <c r="F157" s="102">
        <f>G111</f>
        <v>4442.636125</v>
      </c>
    </row>
    <row r="158" ht="15.75" customHeight="1">
      <c r="E158" s="83">
        <f>H108</f>
        <v>44256</v>
      </c>
      <c r="F158" s="102">
        <f>H111</f>
        <v>4442.636125</v>
      </c>
    </row>
    <row r="159" ht="15.75" customHeight="1">
      <c r="E159" s="83">
        <f>I108</f>
        <v>44287</v>
      </c>
      <c r="F159" s="102">
        <f>I111</f>
        <v>4442.636125</v>
      </c>
    </row>
    <row r="160" ht="15.75" customHeight="1">
      <c r="E160" s="83">
        <f>J108</f>
        <v>44317</v>
      </c>
      <c r="F160" s="102">
        <f>J111</f>
        <v>4442.636125</v>
      </c>
    </row>
    <row r="161" ht="15.75" customHeight="1">
      <c r="E161" s="83">
        <f>K108</f>
        <v>44348</v>
      </c>
      <c r="F161" s="102">
        <f>K111</f>
        <v>4442.636125</v>
      </c>
    </row>
    <row r="162" ht="15.75" customHeight="1">
      <c r="E162" s="83">
        <f>L108</f>
        <v>44378</v>
      </c>
      <c r="F162" s="102">
        <f>L111</f>
        <v>4442.636125</v>
      </c>
    </row>
    <row r="163" ht="15.75" customHeight="1">
      <c r="E163" s="83">
        <f>M108</f>
        <v>44409</v>
      </c>
      <c r="F163" s="102">
        <f>M111</f>
        <v>4442.636125</v>
      </c>
    </row>
    <row r="164" ht="15.75" customHeight="1">
      <c r="E164" s="83">
        <f>N108</f>
        <v>44440</v>
      </c>
      <c r="F164" s="102">
        <f>N111</f>
        <v>4442.636125</v>
      </c>
    </row>
    <row r="165" ht="15.75" customHeight="1">
      <c r="E165" s="83">
        <f>O108</f>
        <v>44470</v>
      </c>
      <c r="F165" s="102">
        <f>O111</f>
        <v>4442.636125</v>
      </c>
    </row>
    <row r="166" ht="15.75" customHeight="1">
      <c r="E166" s="83">
        <f>P108</f>
        <v>44501</v>
      </c>
      <c r="F166" s="102">
        <f>P111</f>
        <v>4442.636125</v>
      </c>
    </row>
    <row r="167" ht="15.75" customHeight="1">
      <c r="E167" s="83">
        <f>Q108</f>
        <v>44531</v>
      </c>
      <c r="F167" s="102">
        <f>Q111</f>
        <v>4442.636125</v>
      </c>
    </row>
    <row r="168" ht="15.75" customHeight="1">
      <c r="E168" s="83">
        <f>R108</f>
        <v>44562</v>
      </c>
      <c r="F168" s="102">
        <f>R111</f>
        <v>4442.636125</v>
      </c>
    </row>
    <row r="169" ht="15.75" customHeight="1">
      <c r="E169" s="83">
        <f>S108</f>
        <v>44593</v>
      </c>
      <c r="F169" s="102">
        <f>S111</f>
        <v>4442.636125</v>
      </c>
    </row>
    <row r="170" ht="15.75" customHeight="1">
      <c r="E170" s="83">
        <f>T108</f>
        <v>44621</v>
      </c>
      <c r="F170" s="102">
        <f>T111</f>
        <v>4442.636125</v>
      </c>
    </row>
    <row r="171" ht="15.75" customHeight="1">
      <c r="E171" s="83">
        <f>U108</f>
        <v>44652</v>
      </c>
      <c r="F171" s="102">
        <f>U111</f>
        <v>4442.636125</v>
      </c>
    </row>
    <row r="172" ht="15.75" customHeight="1">
      <c r="E172" s="83">
        <f>V108</f>
        <v>44682</v>
      </c>
      <c r="F172" s="102">
        <f>V111</f>
        <v>4442.636125</v>
      </c>
    </row>
    <row r="173" ht="15.75" customHeight="1">
      <c r="E173" s="83">
        <f>W108</f>
        <v>44713</v>
      </c>
      <c r="F173" s="102">
        <f>W111</f>
        <v>4442.636125</v>
      </c>
    </row>
    <row r="174" ht="15.75" customHeight="1">
      <c r="E174" s="83"/>
    </row>
    <row r="175" ht="15.75" customHeight="1">
      <c r="E175" s="83"/>
    </row>
    <row r="176" ht="15.75" customHeight="1">
      <c r="E176" s="83"/>
    </row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6" width="8.33"/>
  </cols>
  <sheetData>
    <row r="1" ht="15.75" customHeight="1">
      <c r="A1" s="8" t="s">
        <v>193</v>
      </c>
      <c r="B1" s="8" t="s">
        <v>194</v>
      </c>
    </row>
    <row r="2" ht="15.75" customHeight="1">
      <c r="A2" s="8" t="s">
        <v>195</v>
      </c>
      <c r="B2" s="8" t="s">
        <v>23</v>
      </c>
    </row>
    <row r="3" ht="15.75" customHeight="1"/>
    <row r="4" ht="15.75" customHeight="1">
      <c r="A4" s="8" t="s">
        <v>47</v>
      </c>
    </row>
    <row r="5" ht="15.75" customHeight="1">
      <c r="A5" s="8" t="s">
        <v>196</v>
      </c>
    </row>
    <row r="6" ht="15.75" customHeight="1">
      <c r="A6" s="8" t="s">
        <v>197</v>
      </c>
    </row>
    <row r="7" ht="15.75" customHeight="1">
      <c r="A7" s="8" t="s">
        <v>198</v>
      </c>
    </row>
    <row r="8" ht="15.75" customHeight="1"/>
    <row r="9" ht="15.75" customHeight="1"/>
    <row r="10" ht="15.75" customHeight="1">
      <c r="A10" s="106">
        <v>44075.0</v>
      </c>
    </row>
    <row r="11" ht="15.75" customHeight="1">
      <c r="A11" s="106">
        <v>44105.0</v>
      </c>
    </row>
    <row r="12" ht="15.75" customHeight="1">
      <c r="A12" s="106">
        <v>44136.0</v>
      </c>
    </row>
    <row r="13" ht="15.75" customHeight="1">
      <c r="A13" s="106">
        <v>44166.0</v>
      </c>
    </row>
    <row r="14" ht="15.75" customHeight="1">
      <c r="A14" s="106">
        <v>44197.0</v>
      </c>
    </row>
    <row r="15" ht="15.75" customHeight="1">
      <c r="A15" s="106">
        <v>44228.0</v>
      </c>
    </row>
    <row r="16" ht="15.75" customHeight="1">
      <c r="A16" s="106">
        <v>44256.0</v>
      </c>
    </row>
    <row r="17" ht="15.75" customHeight="1">
      <c r="A17" s="106">
        <v>44287.0</v>
      </c>
    </row>
    <row r="18" ht="15.75" customHeight="1">
      <c r="A18" s="106">
        <v>44317.0</v>
      </c>
    </row>
    <row r="19" ht="15.75" customHeight="1">
      <c r="A19" s="106">
        <v>44348.0</v>
      </c>
    </row>
    <row r="20" ht="15.75" customHeight="1">
      <c r="A20" s="106">
        <v>44378.0</v>
      </c>
    </row>
    <row r="21" ht="15.75" customHeight="1">
      <c r="A21" s="106">
        <v>44409.0</v>
      </c>
    </row>
    <row r="22" ht="15.75" customHeight="1">
      <c r="A22" s="106">
        <v>44440.0</v>
      </c>
    </row>
    <row r="23" ht="15.75" customHeight="1">
      <c r="A23" s="106">
        <v>44470.0</v>
      </c>
    </row>
    <row r="24" ht="15.75" customHeight="1">
      <c r="A24" s="106">
        <v>44501.0</v>
      </c>
    </row>
    <row r="25" ht="15.75" customHeight="1">
      <c r="A25" s="106">
        <v>44531.0</v>
      </c>
    </row>
    <row r="26" ht="15.75" customHeight="1">
      <c r="A26" s="106">
        <v>44562.0</v>
      </c>
    </row>
    <row r="27" ht="15.75" customHeight="1">
      <c r="A27" s="106">
        <v>44593.0</v>
      </c>
    </row>
    <row r="28" ht="15.75" customHeight="1">
      <c r="A28" s="106">
        <v>44621.0</v>
      </c>
    </row>
    <row r="29" ht="15.75" customHeight="1">
      <c r="A29" s="106">
        <v>44652.0</v>
      </c>
    </row>
    <row r="30" ht="15.75" customHeight="1">
      <c r="A30" s="106">
        <v>44682.0</v>
      </c>
    </row>
    <row r="31" ht="15.75" customHeight="1">
      <c r="A31" s="106">
        <v>44713.0</v>
      </c>
    </row>
    <row r="32" ht="15.75" customHeight="1">
      <c r="A32" s="106">
        <v>44743.0</v>
      </c>
    </row>
    <row r="33" ht="15.75" customHeight="1">
      <c r="A33" s="106">
        <v>44774.0</v>
      </c>
    </row>
    <row r="34" ht="15.75" customHeight="1">
      <c r="A34" s="106">
        <v>44805.0</v>
      </c>
    </row>
    <row r="35" ht="15.75" customHeight="1">
      <c r="A35" s="106">
        <v>44835.0</v>
      </c>
    </row>
    <row r="36" ht="15.75" customHeight="1">
      <c r="A36" s="106">
        <v>44866.0</v>
      </c>
    </row>
    <row r="37" ht="15.75" customHeight="1">
      <c r="A37" s="106">
        <v>44896.0</v>
      </c>
    </row>
    <row r="38" ht="15.75" customHeight="1">
      <c r="A38" s="106">
        <v>44927.0</v>
      </c>
    </row>
    <row r="39" ht="15.75" customHeight="1">
      <c r="A39" s="106">
        <v>44958.0</v>
      </c>
    </row>
    <row r="40" ht="15.75" customHeight="1">
      <c r="A40" s="106">
        <v>44986.0</v>
      </c>
    </row>
    <row r="41" ht="15.75" customHeight="1">
      <c r="A41" s="106">
        <v>45017.0</v>
      </c>
    </row>
    <row r="42" ht="15.75" customHeight="1">
      <c r="A42" s="106">
        <v>45047.0</v>
      </c>
    </row>
    <row r="43" ht="15.75" customHeight="1">
      <c r="A43" s="106">
        <v>45078.0</v>
      </c>
    </row>
    <row r="44" ht="15.75" customHeight="1">
      <c r="A44" s="106">
        <v>45108.0</v>
      </c>
    </row>
    <row r="45" ht="15.75" customHeight="1">
      <c r="A45" s="106">
        <v>45139.0</v>
      </c>
    </row>
    <row r="46" ht="15.75" customHeight="1">
      <c r="A46" s="106">
        <v>45170.0</v>
      </c>
    </row>
    <row r="47" ht="15.75" customHeight="1">
      <c r="A47" s="106">
        <v>45200.0</v>
      </c>
    </row>
    <row r="48" ht="15.75" customHeight="1">
      <c r="A48" s="106">
        <v>45231.0</v>
      </c>
    </row>
    <row r="49" ht="15.75" customHeight="1">
      <c r="A49" s="106">
        <v>45261.0</v>
      </c>
    </row>
    <row r="50" ht="15.75" customHeight="1">
      <c r="A50" s="106">
        <v>45292.0</v>
      </c>
    </row>
    <row r="51" ht="15.75" customHeight="1">
      <c r="A51" s="106">
        <v>45323.0</v>
      </c>
    </row>
    <row r="52" ht="15.75" customHeight="1">
      <c r="A52" s="106">
        <v>45352.0</v>
      </c>
    </row>
    <row r="53" ht="15.75" customHeight="1">
      <c r="A53" s="106">
        <v>45383.0</v>
      </c>
    </row>
    <row r="54" ht="15.75" customHeight="1">
      <c r="A54" s="106">
        <v>45413.0</v>
      </c>
    </row>
    <row r="55" ht="15.75" customHeight="1">
      <c r="A55" s="106">
        <v>45444.0</v>
      </c>
    </row>
    <row r="56" ht="15.75" customHeight="1">
      <c r="A56" s="106">
        <v>45474.0</v>
      </c>
    </row>
    <row r="57" ht="15.75" customHeight="1">
      <c r="A57" s="106">
        <v>45505.0</v>
      </c>
    </row>
    <row r="58" ht="15.75" customHeight="1">
      <c r="A58" s="106">
        <v>45536.0</v>
      </c>
    </row>
    <row r="59" ht="15.75" customHeight="1">
      <c r="A59" s="106">
        <v>45566.0</v>
      </c>
    </row>
    <row r="60" ht="15.75" customHeight="1">
      <c r="A60" s="106">
        <v>45597.0</v>
      </c>
    </row>
    <row r="61" ht="15.75" customHeight="1">
      <c r="A61" s="106">
        <v>45627.0</v>
      </c>
    </row>
    <row r="62" ht="15.75" customHeight="1">
      <c r="A62" s="106">
        <v>45658.0</v>
      </c>
    </row>
    <row r="63" ht="15.75" customHeight="1">
      <c r="A63" s="106">
        <v>45689.0</v>
      </c>
    </row>
    <row r="64" ht="15.75" customHeight="1">
      <c r="A64" s="106">
        <v>45717.0</v>
      </c>
    </row>
    <row r="65" ht="15.75" customHeight="1">
      <c r="A65" s="106">
        <v>45748.0</v>
      </c>
    </row>
    <row r="66" ht="15.75" customHeight="1">
      <c r="A66" s="106">
        <v>45778.0</v>
      </c>
    </row>
    <row r="67" ht="15.75" customHeight="1">
      <c r="A67" s="106">
        <v>45809.0</v>
      </c>
    </row>
    <row r="68" ht="15.75" customHeight="1">
      <c r="A68" s="106">
        <v>45839.0</v>
      </c>
    </row>
    <row r="69" ht="15.75" customHeight="1">
      <c r="A69" s="106">
        <v>45870.0</v>
      </c>
    </row>
    <row r="70" ht="15.75" customHeight="1">
      <c r="A70" s="106">
        <v>45901.0</v>
      </c>
    </row>
    <row r="71" ht="15.75" customHeight="1">
      <c r="A71" s="106">
        <v>45931.0</v>
      </c>
    </row>
    <row r="72" ht="15.75" customHeight="1">
      <c r="A72" s="106">
        <v>45962.0</v>
      </c>
    </row>
    <row r="73" ht="15.75" customHeight="1">
      <c r="A73" s="106">
        <v>45992.0</v>
      </c>
    </row>
    <row r="74" ht="15.75" customHeight="1">
      <c r="A74" s="106">
        <v>46023.0</v>
      </c>
    </row>
    <row r="75" ht="15.75" customHeight="1">
      <c r="A75" s="106">
        <v>46054.0</v>
      </c>
    </row>
    <row r="76" ht="15.75" customHeight="1">
      <c r="A76" s="106">
        <v>46082.0</v>
      </c>
    </row>
    <row r="77" ht="15.75" customHeight="1">
      <c r="A77" s="106">
        <v>46113.0</v>
      </c>
    </row>
    <row r="78" ht="15.75" customHeight="1">
      <c r="A78" s="106">
        <v>46143.0</v>
      </c>
    </row>
    <row r="79" ht="15.75" customHeight="1">
      <c r="A79" s="106">
        <v>46174.0</v>
      </c>
    </row>
    <row r="80" ht="15.75" customHeight="1">
      <c r="A80" s="106">
        <v>46204.0</v>
      </c>
    </row>
    <row r="81" ht="15.75" customHeight="1">
      <c r="A81" s="106">
        <v>46235.0</v>
      </c>
    </row>
    <row r="82" ht="15.75" customHeight="1">
      <c r="A82" s="106">
        <v>46266.0</v>
      </c>
    </row>
    <row r="83" ht="15.75" customHeight="1">
      <c r="A83" s="106">
        <v>46296.0</v>
      </c>
    </row>
    <row r="84" ht="15.75" customHeight="1">
      <c r="A84" s="106">
        <v>46327.0</v>
      </c>
    </row>
    <row r="85" ht="15.75" customHeight="1">
      <c r="A85" s="106">
        <v>46357.0</v>
      </c>
    </row>
    <row r="86" ht="15.75" customHeight="1">
      <c r="A86" s="106">
        <v>46388.0</v>
      </c>
    </row>
    <row r="87" ht="15.75" customHeight="1">
      <c r="A87" s="106">
        <v>46419.0</v>
      </c>
    </row>
    <row r="88" ht="15.75" customHeight="1">
      <c r="A88" s="106">
        <v>46447.0</v>
      </c>
    </row>
    <row r="89" ht="15.75" customHeight="1">
      <c r="A89" s="106">
        <v>46478.0</v>
      </c>
    </row>
    <row r="90" ht="15.75" customHeight="1">
      <c r="A90" s="106">
        <v>46508.0</v>
      </c>
    </row>
    <row r="91" ht="15.75" customHeight="1">
      <c r="A91" s="106">
        <v>46539.0</v>
      </c>
    </row>
    <row r="92" ht="15.75" customHeight="1">
      <c r="A92" s="106">
        <v>46569.0</v>
      </c>
    </row>
    <row r="93" ht="15.75" customHeight="1">
      <c r="A93" s="106">
        <v>46600.0</v>
      </c>
    </row>
    <row r="94" ht="15.75" customHeight="1">
      <c r="A94" s="106">
        <v>46631.0</v>
      </c>
    </row>
    <row r="95" ht="15.75" customHeight="1">
      <c r="A95" s="106">
        <v>46661.0</v>
      </c>
    </row>
    <row r="96" ht="15.75" customHeight="1">
      <c r="A96" s="106">
        <v>46692.0</v>
      </c>
    </row>
    <row r="97" ht="15.75" customHeight="1">
      <c r="A97" s="106">
        <v>46722.0</v>
      </c>
    </row>
    <row r="98" ht="15.75" customHeight="1">
      <c r="A98" s="106">
        <v>46753.0</v>
      </c>
    </row>
    <row r="99" ht="15.75" customHeight="1">
      <c r="A99" s="106">
        <v>46784.0</v>
      </c>
    </row>
    <row r="100" ht="15.75" customHeight="1">
      <c r="A100" s="106">
        <v>46813.0</v>
      </c>
    </row>
    <row r="101" ht="15.75" customHeight="1">
      <c r="A101" s="106">
        <v>46844.0</v>
      </c>
    </row>
    <row r="102" ht="15.75" customHeight="1">
      <c r="A102" s="106">
        <v>46874.0</v>
      </c>
    </row>
    <row r="103" ht="15.75" customHeight="1">
      <c r="A103" s="106">
        <v>46905.0</v>
      </c>
    </row>
    <row r="104" ht="15.75" customHeight="1">
      <c r="A104" s="106">
        <v>46935.0</v>
      </c>
    </row>
    <row r="105" ht="15.75" customHeight="1">
      <c r="A105" s="106">
        <v>46966.0</v>
      </c>
    </row>
    <row r="106" ht="15.75" customHeight="1">
      <c r="A106" s="106">
        <v>46997.0</v>
      </c>
    </row>
    <row r="107" ht="15.75" customHeight="1">
      <c r="A107" s="106">
        <v>47027.0</v>
      </c>
    </row>
    <row r="108" ht="15.75" customHeight="1">
      <c r="A108" s="106">
        <v>47058.0</v>
      </c>
    </row>
    <row r="109" ht="15.75" customHeight="1">
      <c r="A109" s="106">
        <v>47088.0</v>
      </c>
    </row>
    <row r="110" ht="15.75" customHeight="1">
      <c r="A110" s="106">
        <v>47119.0</v>
      </c>
    </row>
    <row r="111" ht="15.75" customHeight="1">
      <c r="A111" s="106">
        <v>47150.0</v>
      </c>
    </row>
    <row r="112" ht="15.75" customHeight="1">
      <c r="A112" s="106">
        <v>47178.0</v>
      </c>
    </row>
    <row r="113" ht="15.75" customHeight="1">
      <c r="A113" s="106">
        <v>47209.0</v>
      </c>
    </row>
    <row r="114" ht="15.75" customHeight="1">
      <c r="A114" s="106">
        <v>47239.0</v>
      </c>
    </row>
    <row r="115" ht="15.75" customHeight="1">
      <c r="A115" s="106">
        <v>47270.0</v>
      </c>
    </row>
    <row r="116" ht="15.75" customHeight="1">
      <c r="A116" s="106">
        <v>47300.0</v>
      </c>
    </row>
    <row r="117" ht="15.75" customHeight="1">
      <c r="A117" s="106">
        <v>47331.0</v>
      </c>
    </row>
    <row r="118" ht="15.75" customHeight="1">
      <c r="A118" s="106">
        <v>47362.0</v>
      </c>
    </row>
    <row r="119" ht="15.75" customHeight="1">
      <c r="A119" s="106">
        <v>47392.0</v>
      </c>
    </row>
    <row r="120" ht="15.75" customHeight="1">
      <c r="A120" s="106">
        <v>47423.0</v>
      </c>
    </row>
    <row r="121" ht="15.75" customHeight="1">
      <c r="A121" s="106">
        <v>47453.0</v>
      </c>
    </row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